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402" documentId="11_9BB418C14807E304840246EFBE0400ED0F3B83F5" xr6:coauthVersionLast="47" xr6:coauthVersionMax="47" xr10:uidLastSave="{B3A3A84D-F25B-4A92-B082-5DF75479B2A7}"/>
  <bookViews>
    <workbookView xWindow="-120" yWindow="-120" windowWidth="29040" windowHeight="15525" activeTab="3" xr2:uid="{00000000-000D-0000-FFFF-FFFF01000000}"/>
  </bookViews>
  <sheets>
    <sheet name="Sheet2" sheetId="16" r:id="rId1"/>
    <sheet name="03.16 (v2)" sheetId="12" r:id="rId2"/>
    <sheet name="03.16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1" i="15" l="1"/>
  <c r="AE8" i="15"/>
  <c r="AF8" i="15"/>
  <c r="AH5" i="15"/>
  <c r="AH6" i="15"/>
  <c r="AH7" i="15"/>
  <c r="AH8" i="15"/>
  <c r="AH10" i="15"/>
  <c r="AH14" i="15"/>
  <c r="AH18" i="15"/>
  <c r="AH19" i="15"/>
  <c r="AH20" i="15"/>
  <c r="Z17" i="15"/>
  <c r="AH17" i="15" s="1"/>
  <c r="Z16" i="15"/>
  <c r="Z41" i="15" s="1"/>
  <c r="AA5" i="15"/>
  <c r="AA6" i="15"/>
  <c r="AA7" i="15"/>
  <c r="AA8" i="15"/>
  <c r="AD12" i="15"/>
  <c r="AE12" i="15" s="1"/>
  <c r="AD11" i="15"/>
  <c r="AH11" i="15" s="1"/>
  <c r="AF5" i="15"/>
  <c r="AF6" i="15"/>
  <c r="AI6" i="15" s="1"/>
  <c r="AF7" i="15"/>
  <c r="AF10" i="15"/>
  <c r="AF11" i="15"/>
  <c r="AF12" i="15"/>
  <c r="AF14" i="15"/>
  <c r="AF16" i="15"/>
  <c r="AF17" i="15"/>
  <c r="AF18" i="15"/>
  <c r="AF19" i="15"/>
  <c r="AI19" i="15" s="1"/>
  <c r="AF20" i="15"/>
  <c r="AF21" i="15"/>
  <c r="AH21" i="15"/>
  <c r="AF22" i="15"/>
  <c r="AH22" i="15"/>
  <c r="AF23" i="15"/>
  <c r="AH23" i="15"/>
  <c r="AF24" i="15"/>
  <c r="AH24" i="15"/>
  <c r="AF25" i="15"/>
  <c r="AH25" i="15"/>
  <c r="AF26" i="15"/>
  <c r="AH26" i="15"/>
  <c r="AF27" i="15"/>
  <c r="AH27" i="15"/>
  <c r="AI27" i="15" s="1"/>
  <c r="AF28" i="15"/>
  <c r="AH28" i="15"/>
  <c r="AF29" i="15"/>
  <c r="AH29" i="15"/>
  <c r="AF30" i="15"/>
  <c r="AH30" i="15"/>
  <c r="AI30" i="15" s="1"/>
  <c r="AF31" i="15"/>
  <c r="AH31" i="15"/>
  <c r="AF32" i="15"/>
  <c r="AH32" i="15"/>
  <c r="AF33" i="15"/>
  <c r="AH33" i="15"/>
  <c r="AF34" i="15"/>
  <c r="AH34" i="15"/>
  <c r="AI34" i="15" s="1"/>
  <c r="AF35" i="15"/>
  <c r="AH35" i="15"/>
  <c r="AI35" i="15" s="1"/>
  <c r="AF36" i="15"/>
  <c r="AH36" i="15"/>
  <c r="AB41" i="15"/>
  <c r="X41" i="15"/>
  <c r="AE36" i="15"/>
  <c r="AA36" i="15"/>
  <c r="AE35" i="15"/>
  <c r="AA35" i="15"/>
  <c r="AE34" i="15"/>
  <c r="AA34" i="15"/>
  <c r="AE33" i="15"/>
  <c r="AA33" i="15"/>
  <c r="AE32" i="15"/>
  <c r="AA32" i="15"/>
  <c r="AE31" i="15"/>
  <c r="AA31" i="15"/>
  <c r="AE30" i="15"/>
  <c r="AA30" i="15"/>
  <c r="AE29" i="15"/>
  <c r="AA29" i="15"/>
  <c r="AE28" i="15"/>
  <c r="AA28" i="15"/>
  <c r="AE27" i="15"/>
  <c r="AA27" i="15"/>
  <c r="AE26" i="15"/>
  <c r="AA26" i="15"/>
  <c r="AE25" i="15"/>
  <c r="AA25" i="15"/>
  <c r="AE24" i="15"/>
  <c r="AA24" i="15"/>
  <c r="AE23" i="15"/>
  <c r="AA23" i="15"/>
  <c r="AI22" i="15"/>
  <c r="AE22" i="15"/>
  <c r="AA22" i="15"/>
  <c r="AE21" i="15"/>
  <c r="AA21" i="15"/>
  <c r="AE20" i="15"/>
  <c r="AA20" i="15"/>
  <c r="AE19" i="15"/>
  <c r="AA19" i="15"/>
  <c r="AE18" i="15"/>
  <c r="AA18" i="15"/>
  <c r="AE17" i="15"/>
  <c r="AA17" i="15"/>
  <c r="AE16" i="15"/>
  <c r="AE14" i="15"/>
  <c r="AA14" i="15"/>
  <c r="AA12" i="15"/>
  <c r="AA11" i="15"/>
  <c r="AE10" i="15"/>
  <c r="AA10" i="15"/>
  <c r="AE7" i="15"/>
  <c r="AE6" i="15"/>
  <c r="AE5" i="15"/>
  <c r="K5" i="15"/>
  <c r="AI36" i="15" l="1"/>
  <c r="AI32" i="15"/>
  <c r="AI28" i="15"/>
  <c r="AI24" i="15"/>
  <c r="AI26" i="15"/>
  <c r="AI8" i="15"/>
  <c r="AI33" i="15"/>
  <c r="AI10" i="15"/>
  <c r="AH16" i="15"/>
  <c r="AI16" i="15" s="1"/>
  <c r="AH12" i="15"/>
  <c r="AF41" i="15"/>
  <c r="AI25" i="15"/>
  <c r="AI31" i="15"/>
  <c r="AI23" i="15"/>
  <c r="AI29" i="15"/>
  <c r="AI21" i="15"/>
  <c r="AI20" i="15"/>
  <c r="AI18" i="15"/>
  <c r="AI17" i="15"/>
  <c r="AA16" i="15"/>
  <c r="AI14" i="15"/>
  <c r="AI12" i="15"/>
  <c r="AD41" i="15"/>
  <c r="AE11" i="15"/>
  <c r="AE41" i="15" s="1"/>
  <c r="AI11" i="15"/>
  <c r="AI7" i="15"/>
  <c r="AA41" i="15"/>
  <c r="AI5" i="15"/>
  <c r="K14" i="15"/>
  <c r="I6" i="15"/>
  <c r="I14" i="15"/>
  <c r="E14" i="15"/>
  <c r="G6" i="15"/>
  <c r="E6" i="15"/>
  <c r="I20" i="15"/>
  <c r="I19" i="15"/>
  <c r="I18" i="15"/>
  <c r="I17" i="15"/>
  <c r="I16" i="15"/>
  <c r="I12" i="15"/>
  <c r="I11" i="15"/>
  <c r="I10" i="15"/>
  <c r="I8" i="15"/>
  <c r="I7" i="15"/>
  <c r="I5" i="15"/>
  <c r="I21" i="15"/>
  <c r="I22" i="15"/>
  <c r="Q22" i="14"/>
  <c r="Q21" i="14"/>
  <c r="Q20" i="14"/>
  <c r="Q19" i="14"/>
  <c r="Q18" i="14"/>
  <c r="Q16" i="14"/>
  <c r="Q14" i="14"/>
  <c r="Q13" i="14"/>
  <c r="Q12" i="14"/>
  <c r="Q10" i="14"/>
  <c r="Q9" i="14"/>
  <c r="Q8" i="14"/>
  <c r="Q7" i="14"/>
  <c r="AH41" i="15" l="1"/>
  <c r="AI41" i="15"/>
  <c r="AB7" i="14"/>
  <c r="AB46" i="14"/>
  <c r="AB45" i="14"/>
  <c r="AB44" i="14"/>
  <c r="AB43" i="14"/>
  <c r="AB42" i="14"/>
  <c r="AB41" i="14"/>
  <c r="AB40" i="14"/>
  <c r="AB39" i="14"/>
  <c r="AB38" i="14"/>
  <c r="AB37" i="14"/>
  <c r="AB36" i="14"/>
  <c r="AB35" i="14"/>
  <c r="AB34" i="14"/>
  <c r="AB33" i="14"/>
  <c r="AB32" i="14"/>
  <c r="AB31" i="14"/>
  <c r="AB30" i="14"/>
  <c r="AB29" i="14"/>
  <c r="AB28" i="14"/>
  <c r="AB27" i="14"/>
  <c r="AB26" i="14"/>
  <c r="AB25" i="14"/>
  <c r="AB24" i="14"/>
  <c r="AB23" i="14"/>
  <c r="AB22" i="14"/>
  <c r="AB21" i="14"/>
  <c r="AB20" i="14"/>
  <c r="AB19" i="14"/>
  <c r="AB18" i="14"/>
  <c r="AB17" i="14"/>
  <c r="AB16" i="14"/>
  <c r="AB15" i="14"/>
  <c r="AB14" i="14"/>
  <c r="AB13" i="14"/>
  <c r="AB12" i="14"/>
  <c r="AB11" i="14"/>
  <c r="AB10" i="14"/>
  <c r="AB9" i="14"/>
  <c r="AB8" i="14"/>
  <c r="AB6" i="14"/>
  <c r="AB5" i="14"/>
  <c r="AB4" i="14"/>
  <c r="Y48" i="14"/>
  <c r="Z48" i="14"/>
  <c r="Y51" i="14"/>
  <c r="Z51" i="14"/>
  <c r="F22" i="14" l="1"/>
  <c r="D22" i="14"/>
  <c r="F21" i="14"/>
  <c r="D21" i="14"/>
  <c r="F20" i="14"/>
  <c r="D20" i="14"/>
  <c r="F19" i="14"/>
  <c r="D19" i="14"/>
  <c r="F18" i="14"/>
  <c r="D18" i="14"/>
  <c r="F16" i="14"/>
  <c r="D16" i="14"/>
  <c r="F14" i="14"/>
  <c r="D14" i="14"/>
  <c r="F13" i="14"/>
  <c r="D13" i="14"/>
  <c r="F12" i="14"/>
  <c r="D12" i="14"/>
  <c r="F10" i="14"/>
  <c r="D10" i="14"/>
  <c r="F9" i="14"/>
  <c r="D9" i="14"/>
  <c r="F8" i="14"/>
  <c r="D8" i="14"/>
  <c r="F7" i="14"/>
  <c r="D7" i="14"/>
  <c r="R21" i="15" l="1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E5" i="15"/>
  <c r="H5" i="15" s="1"/>
  <c r="H6" i="15"/>
  <c r="E10" i="15"/>
  <c r="H10" i="15" s="1"/>
  <c r="H14" i="15"/>
  <c r="E17" i="15"/>
  <c r="H17" i="15" s="1"/>
  <c r="E18" i="15"/>
  <c r="H18" i="15" s="1"/>
  <c r="C21" i="15"/>
  <c r="E21" i="15"/>
  <c r="H21" i="15" s="1"/>
  <c r="K21" i="15"/>
  <c r="L21" i="15"/>
  <c r="M21" i="15"/>
  <c r="N21" i="15"/>
  <c r="O21" i="15"/>
  <c r="C22" i="15"/>
  <c r="K22" i="15"/>
  <c r="L22" i="15"/>
  <c r="M22" i="15"/>
  <c r="N22" i="15"/>
  <c r="O22" i="15"/>
  <c r="C23" i="15"/>
  <c r="I23" i="15"/>
  <c r="K23" i="15"/>
  <c r="L23" i="15"/>
  <c r="M23" i="15"/>
  <c r="N23" i="15"/>
  <c r="O23" i="15"/>
  <c r="C24" i="15"/>
  <c r="I24" i="15"/>
  <c r="K24" i="15"/>
  <c r="L24" i="15"/>
  <c r="M24" i="15"/>
  <c r="N24" i="15"/>
  <c r="O24" i="15"/>
  <c r="C25" i="15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I27" i="15"/>
  <c r="K27" i="15"/>
  <c r="L27" i="15"/>
  <c r="M27" i="15"/>
  <c r="N27" i="15"/>
  <c r="O27" i="15"/>
  <c r="J27" i="15" s="1"/>
  <c r="C28" i="15"/>
  <c r="I28" i="15"/>
  <c r="K28" i="15"/>
  <c r="L28" i="15"/>
  <c r="M28" i="15"/>
  <c r="N28" i="15"/>
  <c r="O28" i="15"/>
  <c r="C29" i="15"/>
  <c r="I29" i="15"/>
  <c r="K29" i="15"/>
  <c r="L29" i="15"/>
  <c r="M29" i="15"/>
  <c r="N29" i="15"/>
  <c r="O29" i="15"/>
  <c r="C30" i="15"/>
  <c r="I30" i="15"/>
  <c r="K30" i="15"/>
  <c r="L30" i="15"/>
  <c r="M30" i="15"/>
  <c r="N30" i="15"/>
  <c r="O30" i="15"/>
  <c r="C31" i="15"/>
  <c r="I31" i="15"/>
  <c r="K31" i="15"/>
  <c r="L31" i="15"/>
  <c r="M31" i="15"/>
  <c r="N31" i="15"/>
  <c r="O31" i="15"/>
  <c r="C32" i="15"/>
  <c r="I32" i="15"/>
  <c r="K32" i="15"/>
  <c r="L32" i="15"/>
  <c r="M32" i="15"/>
  <c r="N32" i="15"/>
  <c r="O32" i="15"/>
  <c r="C33" i="15"/>
  <c r="I33" i="15"/>
  <c r="K33" i="15"/>
  <c r="L33" i="15"/>
  <c r="M33" i="15"/>
  <c r="N33" i="15"/>
  <c r="O33" i="15"/>
  <c r="C34" i="15"/>
  <c r="I34" i="15"/>
  <c r="K34" i="15"/>
  <c r="L34" i="15"/>
  <c r="M34" i="15"/>
  <c r="N34" i="15"/>
  <c r="O34" i="15"/>
  <c r="N17" i="14"/>
  <c r="N15" i="14"/>
  <c r="N11" i="14"/>
  <c r="N6" i="14"/>
  <c r="D8" i="12"/>
  <c r="D7" i="12"/>
  <c r="F7" i="12"/>
  <c r="F8" i="12"/>
  <c r="F9" i="12"/>
  <c r="D9" i="12"/>
  <c r="F12" i="12"/>
  <c r="D12" i="12"/>
  <c r="D10" i="12"/>
  <c r="F13" i="12"/>
  <c r="D13" i="12"/>
  <c r="F16" i="12"/>
  <c r="F14" i="12"/>
  <c r="D14" i="12"/>
  <c r="D16" i="12"/>
  <c r="F18" i="12"/>
  <c r="D18" i="12"/>
  <c r="F19" i="12"/>
  <c r="D19" i="12"/>
  <c r="F20" i="12"/>
  <c r="F21" i="12"/>
  <c r="D21" i="12"/>
  <c r="D20" i="12"/>
  <c r="D22" i="12"/>
  <c r="F22" i="12"/>
  <c r="F10" i="12"/>
  <c r="J28" i="15" l="1"/>
  <c r="E30" i="15"/>
  <c r="H30" i="15" s="1"/>
  <c r="E27" i="15"/>
  <c r="H27" i="15" s="1"/>
  <c r="J23" i="15"/>
  <c r="E22" i="15"/>
  <c r="H22" i="15" s="1"/>
  <c r="E29" i="15"/>
  <c r="H29" i="15" s="1"/>
  <c r="J25" i="15"/>
  <c r="E34" i="15"/>
  <c r="H34" i="15" s="1"/>
  <c r="E33" i="15"/>
  <c r="H33" i="15" s="1"/>
  <c r="E32" i="15"/>
  <c r="H32" i="15" s="1"/>
  <c r="J19" i="15"/>
  <c r="E25" i="15"/>
  <c r="H25" i="15" s="1"/>
  <c r="E24" i="15"/>
  <c r="H24" i="15" s="1"/>
  <c r="J31" i="15"/>
  <c r="J22" i="15"/>
  <c r="J33" i="15"/>
  <c r="J17" i="15"/>
  <c r="J20" i="15"/>
  <c r="J6" i="15"/>
  <c r="J14" i="15"/>
  <c r="E19" i="15"/>
  <c r="H19" i="15" s="1"/>
  <c r="E12" i="15"/>
  <c r="H12" i="15" s="1"/>
  <c r="E8" i="15"/>
  <c r="H8" i="15" s="1"/>
  <c r="E16" i="15"/>
  <c r="H16" i="15" s="1"/>
  <c r="J11" i="15"/>
  <c r="E31" i="15"/>
  <c r="H31" i="15" s="1"/>
  <c r="E23" i="15"/>
  <c r="H23" i="15" s="1"/>
  <c r="E11" i="15"/>
  <c r="H11" i="15" s="1"/>
  <c r="J8" i="15"/>
  <c r="E7" i="15"/>
  <c r="H7" i="15" s="1"/>
  <c r="J4" i="15"/>
  <c r="J9" i="15"/>
  <c r="J13" i="15"/>
  <c r="J15" i="15"/>
  <c r="J30" i="15"/>
  <c r="J10" i="15"/>
  <c r="E28" i="15"/>
  <c r="H28" i="15" s="1"/>
  <c r="E20" i="15"/>
  <c r="H20" i="15" s="1"/>
  <c r="J7" i="15"/>
  <c r="J34" i="15"/>
  <c r="J32" i="15"/>
  <c r="J29" i="15"/>
  <c r="J26" i="15"/>
  <c r="J24" i="15"/>
  <c r="J21" i="15"/>
  <c r="J16" i="15"/>
  <c r="J18" i="15"/>
  <c r="J12" i="15"/>
  <c r="J5" i="15"/>
  <c r="J37" i="15"/>
  <c r="J38" i="15"/>
  <c r="J39" i="15"/>
  <c r="I35" i="15"/>
  <c r="I36" i="15"/>
  <c r="C35" i="15"/>
  <c r="C36" i="15"/>
  <c r="H16" i="14"/>
  <c r="T16" i="14"/>
  <c r="H14" i="14"/>
  <c r="T14" i="14"/>
  <c r="H13" i="14"/>
  <c r="T13" i="14"/>
  <c r="H12" i="14"/>
  <c r="T12" i="14"/>
  <c r="H10" i="14"/>
  <c r="T10" i="14"/>
  <c r="H9" i="14"/>
  <c r="T9" i="14"/>
  <c r="H8" i="14"/>
  <c r="T8" i="14"/>
  <c r="H7" i="14"/>
  <c r="T7" i="14"/>
  <c r="N5" i="14"/>
  <c r="T20" i="12"/>
  <c r="T19" i="12"/>
  <c r="T18" i="12"/>
  <c r="T16" i="12"/>
  <c r="T14" i="12"/>
  <c r="T13" i="12"/>
  <c r="T12" i="12"/>
  <c r="T10" i="12"/>
  <c r="T8" i="12"/>
  <c r="T7" i="12"/>
  <c r="R39" i="15"/>
  <c r="R36" i="15"/>
  <c r="R37" i="15"/>
  <c r="R38" i="15"/>
  <c r="B35" i="15"/>
  <c r="B36" i="15"/>
  <c r="B37" i="15"/>
  <c r="B38" i="15"/>
  <c r="A1" i="14"/>
  <c r="A35" i="15"/>
  <c r="E35" i="15"/>
  <c r="H35" i="15" s="1"/>
  <c r="K35" i="15"/>
  <c r="L35" i="15"/>
  <c r="M35" i="15"/>
  <c r="N35" i="15"/>
  <c r="O35" i="15"/>
  <c r="A36" i="15"/>
  <c r="E36" i="15"/>
  <c r="H36" i="15" s="1"/>
  <c r="K36" i="15"/>
  <c r="L36" i="15"/>
  <c r="M36" i="15"/>
  <c r="N36" i="15"/>
  <c r="O36" i="15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B37" i="14"/>
  <c r="C37" i="14"/>
  <c r="E37" i="14"/>
  <c r="F37" i="14"/>
  <c r="G37" i="14"/>
  <c r="A38" i="14"/>
  <c r="B38" i="14"/>
  <c r="C38" i="14"/>
  <c r="E38" i="14"/>
  <c r="F38" i="14"/>
  <c r="G38" i="14"/>
  <c r="W41" i="15"/>
  <c r="J3" i="15" l="1"/>
  <c r="J35" i="15"/>
  <c r="J36" i="15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H20" i="14"/>
  <c r="T19" i="14"/>
  <c r="H19" i="14"/>
  <c r="T18" i="14"/>
  <c r="H18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K46" i="14"/>
  <c r="H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H22" i="14"/>
  <c r="T21" i="14"/>
  <c r="H21" i="14"/>
  <c r="T22" i="12"/>
  <c r="T21" i="12"/>
  <c r="R49" i="12"/>
  <c r="K48" i="12"/>
  <c r="S49" i="12"/>
  <c r="Q49" i="12"/>
  <c r="AA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<sst xmlns="http://schemas.openxmlformats.org/spreadsheetml/2006/main" count="1439" uniqueCount="161">
  <si>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</si>
  <si>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</si>
  <si>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</si>
  <si>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</si>
  <si>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</si>
  <si>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</si>
  <si>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</si>
  <si>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</si>
  <si>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</si>
  <si>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</si>
  <si>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</si>
  <si>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</si>
  <si>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</si>
  <si>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</si>
  <si>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</si>
  <si>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</si>
  <si>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</si>
  <si>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</si>
  <si>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</si>
  <si>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</si>
  <si>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</si>
  <si>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</si>
  <si>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</si>
  <si>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</si>
  <si>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</si>
  <si>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</si>
  <si>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</si>
  <si>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</si>
  <si>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</si>
  <si>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</si>
  <si>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</si>
  <si>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</si>
  <si>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</si>
  <si>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</si>
  <si>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</si>
  <si>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</si>
  <si>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</si>
  <si>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</si>
  <si>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</si>
  <si>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</si>
  <si>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</si>
  <si>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</si>
  <si>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</si>
  <si>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</si>
  <si>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</si>
  <si>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</si>
  <si>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</si>
  <si>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</si>
  <si>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</si>
  <si>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</si>
  <si>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</si>
  <si>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</si>
  <si>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</si>
  <si>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</si>
  <si>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</si>
  <si>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</si>
  <si>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</si>
  <si>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</si>
  <si>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</si>
  <si>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</si>
  <si>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</si>
  <si>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</si>
  <si>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</si>
  <si>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</si>
  <si>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</si>
  <si>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</si>
  <si>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</si>
  <si>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</si>
  <si>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</si>
  <si>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VIP</t>
  </si>
  <si>
    <t>Public</t>
  </si>
  <si>
    <t>Saturday, March 16th</t>
  </si>
  <si>
    <t>Group Photo per Person</t>
  </si>
  <si>
    <t>Anthem Group Tours</t>
  </si>
  <si>
    <t>Harding University</t>
  </si>
  <si>
    <t>Bodine Family</t>
  </si>
  <si>
    <t xml:space="preserve">Hello Texas </t>
  </si>
  <si>
    <t>Dallas' 8th Birthday Party</t>
  </si>
  <si>
    <t>SOLD</t>
  </si>
  <si>
    <t>Notes</t>
  </si>
  <si>
    <t>Phil</t>
  </si>
  <si>
    <t>Anthem Group Tours - Lexington HS Band</t>
  </si>
  <si>
    <t>Group Photo w/ copy for each person</t>
  </si>
  <si>
    <t>Food and Culinary Dept. - Harding Ujniversity</t>
  </si>
  <si>
    <t>Group Photo w/ copy for each person (See Notes)</t>
  </si>
  <si>
    <t>Steve</t>
  </si>
  <si>
    <t>Owners Experience</t>
  </si>
  <si>
    <t>Larry(Tracy)</t>
  </si>
  <si>
    <t>Cynthia</t>
  </si>
  <si>
    <t>Dallas' 8th Birthday Tour - DW</t>
  </si>
  <si>
    <t>Owners experience(no optum clu.   : One for each group member (JJ exp.)</t>
  </si>
  <si>
    <t>Jody</t>
  </si>
  <si>
    <t>Sammye</t>
  </si>
  <si>
    <t>Gloria</t>
  </si>
  <si>
    <t>Bodine Family - DW</t>
  </si>
  <si>
    <t>Kim(Garrett)</t>
  </si>
  <si>
    <t>Larry</t>
  </si>
  <si>
    <t>Hello Texas Destinatinon Management /ATI</t>
  </si>
  <si>
    <t>Jody(Tracy)</t>
  </si>
  <si>
    <t>Glenn</t>
  </si>
  <si>
    <t>Larry(Garrett)</t>
  </si>
  <si>
    <t>4:00</t>
  </si>
  <si>
    <t>35</t>
  </si>
  <si>
    <t>4:30</t>
  </si>
  <si>
    <t>1</t>
  </si>
  <si>
    <t>Tai</t>
  </si>
  <si>
    <t>9</t>
  </si>
  <si>
    <t>2</t>
  </si>
  <si>
    <t xml:space="preserve">Tracy; trail 10:30pm  &amp; 1:30pm private </t>
  </si>
  <si>
    <t>10</t>
  </si>
  <si>
    <t>3</t>
  </si>
  <si>
    <t xml:space="preserve">Garrett 12pm-5pm; trail 12:30pm &amp; 3pm </t>
  </si>
  <si>
    <t>11</t>
  </si>
  <si>
    <t>5</t>
  </si>
  <si>
    <t>Sean (9:30-2:30)</t>
  </si>
  <si>
    <t>12</t>
  </si>
  <si>
    <t>Captain</t>
  </si>
  <si>
    <t>Kyshaa</t>
  </si>
  <si>
    <t>Breaks</t>
  </si>
  <si>
    <t>Larry (Garrett)</t>
  </si>
  <si>
    <t>Kim (Garrett)</t>
  </si>
  <si>
    <t>Jody (Tracy)</t>
  </si>
  <si>
    <t>Larry (Tracy)</t>
  </si>
  <si>
    <t>_</t>
  </si>
  <si>
    <t>13</t>
  </si>
  <si>
    <t>14</t>
  </si>
  <si>
    <t>Digital</t>
  </si>
  <si>
    <t>8</t>
  </si>
  <si>
    <t>7</t>
  </si>
  <si>
    <t>6</t>
  </si>
  <si>
    <t>16</t>
  </si>
  <si>
    <t>3700,01,02 &amp;03 = Declined duplicates 
→ 3784, 85 &amp; 86 = RETAKES [taken @1:00]</t>
  </si>
  <si>
    <t>sold 9x extra prints</t>
  </si>
  <si>
    <t>3787/88 = Legends Employee Comps
3784, 85 &amp; 86 = RETAKES from the 10:30a</t>
  </si>
  <si>
    <t>3862 &amp; 63 blurry</t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</si>
  <si>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40 ; Rastered 4049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</si>
  <si>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20; Rastered 4053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</si>
  <si>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9; Rastered 4065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</si>
  <si>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52; Rastered 4069</t>
    </r>
  </si>
  <si>
    <r>
      <rPr>
        <b/>
        <sz val="7"/>
        <color theme="0" tint="-0.499984740745262"/>
        <rFont val="Calibri"/>
        <family val="2"/>
      </rPr>
      <t xml:space="preserve">3672 test photo; </t>
    </r>
    <r>
      <rPr>
        <b/>
        <sz val="7"/>
        <color theme="1"/>
        <rFont val="Calibri"/>
        <family val="2"/>
      </rPr>
      <t>sold 3X extra photos</t>
    </r>
  </si>
  <si>
    <r>
      <t xml:space="preserve">Group VIP photo → [NE GAP]; </t>
    </r>
    <r>
      <rPr>
        <sz val="7"/>
        <color rgb="FF00B050"/>
        <rFont val="Calibri"/>
        <family val="2"/>
      </rPr>
      <t>sammy winked</t>
    </r>
    <r>
      <rPr>
        <sz val="7"/>
        <color theme="1"/>
        <rFont val="Calibri"/>
        <family val="2"/>
      </rPr>
      <t xml:space="preserve">
Print → one 5x7 / person </t>
    </r>
    <r>
      <rPr>
        <b/>
        <sz val="7"/>
        <color theme="1"/>
        <rFont val="Calibri"/>
        <family val="2"/>
      </rPr>
      <t xml:space="preserve">
Printed 19; Rastered 4060</t>
    </r>
  </si>
  <si>
    <t>1 picture was stolen (cellphone)</t>
  </si>
  <si>
    <t>3871-3872 blurry, 1 stolen (cellphone)</t>
  </si>
  <si>
    <t>3700,01,02 &amp;03 = originals
→ 3784, 85 &amp; 86 = RETAKES [taken @1:00]</t>
  </si>
  <si>
    <t>.</t>
  </si>
  <si>
    <t>10+2</t>
  </si>
  <si>
    <t>3+0</t>
  </si>
  <si>
    <t>14+4</t>
  </si>
  <si>
    <t>6+0</t>
  </si>
  <si>
    <t>7+0</t>
  </si>
  <si>
    <t>7+1</t>
  </si>
  <si>
    <t>8+1+d</t>
  </si>
  <si>
    <t>10+2+d</t>
  </si>
  <si>
    <t>6+2+d</t>
  </si>
  <si>
    <t>8+0</t>
  </si>
  <si>
    <t>9+2</t>
  </si>
  <si>
    <r>
      <rPr>
        <b/>
        <sz val="7"/>
        <color theme="0" tint="-0.499984740745262"/>
        <rFont val="Calibri"/>
        <family val="2"/>
      </rPr>
      <t xml:space="preserve">3672 test photo; </t>
    </r>
    <r>
      <rPr>
        <b/>
        <sz val="7"/>
        <color theme="1"/>
        <rFont val="Calibri"/>
        <family val="2"/>
      </rPr>
      <t>sold 2X extra photos</t>
    </r>
  </si>
  <si>
    <t>Single</t>
  </si>
  <si>
    <t>Additional</t>
  </si>
  <si>
    <t>Total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</si>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</sst>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FF0000"/>
      <name val="Calibri"/>
      <family val="2"/>
    </font>
    <font>
      <b/>
      <sz val="7"/>
      <color theme="0" tint="-0.499984740745262"/>
      <name val="Calibri"/>
      <family val="2"/>
    </font>
    <font>
      <sz val="7"/>
      <color rgb="FF00B050"/>
      <name val="Calibri"/>
      <family val="2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4" fillId="0" borderId="0" applyFont="0" applyFill="0" applyBorder="0" applyAlignment="0" applyProtection="0"/>
  </cellStyleXfs>
  <cellXfs count="506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16" fontId="4" fillId="0" borderId="0" xfId="0" applyNumberFormat="1" applyFont="1"/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0" borderId="8" xfId="0" applyFont="1" applyFill="1" applyBorder="1" applyAlignment="1">
      <alignment horizontal="center" vertical="center" textRotation="90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9" fontId="7" fillId="0" borderId="4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45" fillId="0" borderId="42" xfId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6" fillId="22" borderId="3" xfId="0" applyFont="1" applyFill="1" applyBorder="1" applyAlignment="1">
      <alignment horizontal="center" vertical="center"/>
    </xf>
    <xf numFmtId="0" fontId="47" fillId="22" borderId="3" xfId="0" applyFon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6" borderId="3" xfId="0" applyNumberFormat="1" applyFill="1" applyBorder="1" applyAlignment="1">
      <alignment horizontal="center" vertical="center"/>
    </xf>
    <xf numFmtId="1" fontId="0" fillId="6" borderId="5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1" fillId="0" borderId="1" xfId="0" applyNumberFormat="1" applyFont="1" applyBorder="1" applyAlignment="1">
      <alignment horizontal="center"/>
    </xf>
    <xf numFmtId="0" fontId="51" fillId="0" borderId="70" xfId="0" applyFont="1" applyBorder="1" applyAlignment="1">
      <alignment horizontal="center"/>
    </xf>
    <xf numFmtId="0" fontId="52" fillId="0" borderId="71" xfId="0" applyFont="1" applyBorder="1" applyAlignment="1">
      <alignment horizontal="center" wrapText="1"/>
    </xf>
    <xf numFmtId="0" fontId="51" fillId="2" borderId="32" xfId="0" applyFont="1" applyFill="1" applyBorder="1"/>
    <xf numFmtId="20" fontId="51" fillId="3" borderId="53" xfId="0" applyNumberFormat="1" applyFont="1" applyFill="1" applyBorder="1" applyAlignment="1">
      <alignment horizontal="center"/>
    </xf>
    <xf numFmtId="0" fontId="51" fillId="8" borderId="54" xfId="0" applyFont="1" applyFill="1" applyBorder="1" applyAlignment="1">
      <alignment horizontal="center" wrapText="1"/>
    </xf>
    <xf numFmtId="0" fontId="51" fillId="3" borderId="54" xfId="0" applyFont="1" applyFill="1" applyBorder="1" applyAlignment="1">
      <alignment horizontal="center"/>
    </xf>
    <xf numFmtId="0" fontId="52" fillId="3" borderId="66" xfId="0" applyFont="1" applyFill="1" applyBorder="1" applyAlignment="1">
      <alignment horizontal="center"/>
    </xf>
    <xf numFmtId="0" fontId="51" fillId="2" borderId="52" xfId="0" applyFont="1" applyFill="1" applyBorder="1"/>
    <xf numFmtId="0" fontId="52" fillId="3" borderId="66" xfId="0" applyFont="1" applyFill="1" applyBorder="1" applyAlignment="1">
      <alignment horizontal="center" wrapText="1"/>
    </xf>
    <xf numFmtId="20" fontId="51" fillId="2" borderId="53" xfId="0" applyNumberFormat="1" applyFont="1" applyFill="1" applyBorder="1" applyAlignment="1">
      <alignment horizontal="center"/>
    </xf>
    <xf numFmtId="0" fontId="51" fillId="0" borderId="54" xfId="0" applyFont="1" applyBorder="1" applyAlignment="1">
      <alignment horizontal="center"/>
    </xf>
    <xf numFmtId="0" fontId="51" fillId="2" borderId="54" xfId="0" applyFont="1" applyFill="1" applyBorder="1" applyAlignment="1">
      <alignment horizontal="center"/>
    </xf>
    <xf numFmtId="0" fontId="52" fillId="2" borderId="66" xfId="0" applyFont="1" applyFill="1" applyBorder="1" applyAlignment="1">
      <alignment horizontal="center"/>
    </xf>
    <xf numFmtId="0" fontId="51" fillId="8" borderId="54" xfId="0" applyFont="1" applyFill="1" applyBorder="1" applyAlignment="1">
      <alignment horizontal="center"/>
    </xf>
    <xf numFmtId="0" fontId="52" fillId="2" borderId="66" xfId="0" applyFont="1" applyFill="1" applyBorder="1" applyAlignment="1">
      <alignment horizontal="center" wrapText="1"/>
    </xf>
    <xf numFmtId="20" fontId="51" fillId="0" borderId="53" xfId="0" applyNumberFormat="1" applyFont="1" applyBorder="1" applyAlignment="1">
      <alignment horizontal="center"/>
    </xf>
    <xf numFmtId="0" fontId="52" fillId="0" borderId="66" xfId="0" applyFont="1" applyBorder="1" applyAlignment="1">
      <alignment horizontal="center" wrapText="1"/>
    </xf>
    <xf numFmtId="0" fontId="52" fillId="3" borderId="34" xfId="0" applyFont="1" applyFill="1" applyBorder="1" applyAlignment="1">
      <alignment horizontal="center" wrapText="1"/>
    </xf>
    <xf numFmtId="20" fontId="51" fillId="0" borderId="19" xfId="0" applyNumberFormat="1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2" fillId="0" borderId="34" xfId="0" applyFont="1" applyBorder="1" applyAlignment="1">
      <alignment horizontal="center" wrapText="1"/>
    </xf>
    <xf numFmtId="20" fontId="51" fillId="2" borderId="2" xfId="0" applyNumberFormat="1" applyFont="1" applyFill="1" applyBorder="1" applyAlignment="1">
      <alignment horizontal="center"/>
    </xf>
    <xf numFmtId="0" fontId="51" fillId="2" borderId="3" xfId="0" applyFont="1" applyFill="1" applyBorder="1" applyAlignment="1">
      <alignment horizontal="center"/>
    </xf>
    <xf numFmtId="0" fontId="52" fillId="2" borderId="42" xfId="0" applyFont="1" applyFill="1" applyBorder="1" applyAlignment="1">
      <alignment horizontal="center" wrapText="1"/>
    </xf>
    <xf numFmtId="0" fontId="51" fillId="2" borderId="43" xfId="0" applyFont="1" applyFill="1" applyBorder="1"/>
    <xf numFmtId="49" fontId="53" fillId="0" borderId="67" xfId="0" applyNumberFormat="1" applyFont="1" applyBorder="1" applyAlignment="1">
      <alignment horizontal="center"/>
    </xf>
    <xf numFmtId="0" fontId="51" fillId="2" borderId="68" xfId="0" applyFont="1" applyFill="1" applyBorder="1" applyAlignment="1">
      <alignment horizontal="center"/>
    </xf>
    <xf numFmtId="49" fontId="53" fillId="0" borderId="68" xfId="0" applyNumberFormat="1" applyFont="1" applyBorder="1" applyAlignment="1">
      <alignment horizontal="center"/>
    </xf>
    <xf numFmtId="0" fontId="51" fillId="2" borderId="69" xfId="0" applyFont="1" applyFill="1" applyBorder="1" applyAlignment="1">
      <alignment horizontal="center"/>
    </xf>
    <xf numFmtId="49" fontId="51" fillId="0" borderId="6" xfId="0" applyNumberFormat="1" applyFont="1" applyBorder="1" applyAlignment="1">
      <alignment horizontal="left"/>
    </xf>
    <xf numFmtId="0" fontId="53" fillId="0" borderId="48" xfId="0" applyFont="1" applyBorder="1" applyAlignment="1">
      <alignment horizontal="left" wrapText="1"/>
    </xf>
    <xf numFmtId="49" fontId="53" fillId="0" borderId="10" xfId="0" applyNumberFormat="1" applyFont="1" applyBorder="1" applyAlignment="1">
      <alignment horizontal="center"/>
    </xf>
    <xf numFmtId="0" fontId="51" fillId="2" borderId="11" xfId="0" applyFont="1" applyFill="1" applyBorder="1" applyAlignment="1">
      <alignment horizontal="center"/>
    </xf>
    <xf numFmtId="49" fontId="53" fillId="0" borderId="11" xfId="0" applyNumberFormat="1" applyFont="1" applyBorder="1" applyAlignment="1">
      <alignment horizontal="center"/>
    </xf>
    <xf numFmtId="0" fontId="51" fillId="2" borderId="72" xfId="0" applyFont="1" applyFill="1" applyBorder="1" applyAlignment="1">
      <alignment horizontal="center"/>
    </xf>
    <xf numFmtId="49" fontId="51" fillId="0" borderId="11" xfId="0" applyNumberFormat="1" applyFont="1" applyBorder="1" applyAlignment="1">
      <alignment horizontal="left"/>
    </xf>
    <xf numFmtId="0" fontId="53" fillId="0" borderId="30" xfId="0" applyFont="1" applyBorder="1" applyAlignment="1">
      <alignment horizontal="left" wrapText="1"/>
    </xf>
    <xf numFmtId="49" fontId="53" fillId="0" borderId="53" xfId="0" applyNumberFormat="1" applyFont="1" applyBorder="1" applyAlignment="1">
      <alignment horizontal="left"/>
    </xf>
    <xf numFmtId="0" fontId="53" fillId="0" borderId="54" xfId="0" applyFont="1" applyBorder="1"/>
    <xf numFmtId="49" fontId="51" fillId="0" borderId="54" xfId="0" applyNumberFormat="1" applyFont="1" applyBorder="1"/>
    <xf numFmtId="49" fontId="51" fillId="2" borderId="54" xfId="0" applyNumberFormat="1" applyFont="1" applyFill="1" applyBorder="1"/>
    <xf numFmtId="49" fontId="51" fillId="2" borderId="9" xfId="0" applyNumberFormat="1" applyFont="1" applyFill="1" applyBorder="1"/>
    <xf numFmtId="0" fontId="53" fillId="2" borderId="73" xfId="0" applyFont="1" applyFill="1" applyBorder="1" applyAlignment="1">
      <alignment horizontal="left"/>
    </xf>
    <xf numFmtId="49" fontId="53" fillId="0" borderId="2" xfId="0" applyNumberFormat="1" applyFont="1" applyBorder="1" applyAlignment="1">
      <alignment horizontal="left"/>
    </xf>
    <xf numFmtId="0" fontId="51" fillId="2" borderId="20" xfId="0" applyFont="1" applyFill="1" applyBorder="1" applyAlignment="1">
      <alignment horizontal="left"/>
    </xf>
    <xf numFmtId="49" fontId="51" fillId="0" borderId="3" xfId="0" applyNumberFormat="1" applyFont="1" applyBorder="1"/>
    <xf numFmtId="49" fontId="51" fillId="2" borderId="3" xfId="0" applyNumberFormat="1" applyFont="1" applyFill="1" applyBorder="1"/>
    <xf numFmtId="49" fontId="51" fillId="2" borderId="5" xfId="0" applyNumberFormat="1" applyFont="1" applyFill="1" applyBorder="1" applyAlignment="1">
      <alignment wrapText="1"/>
    </xf>
    <xf numFmtId="0" fontId="53" fillId="2" borderId="0" xfId="0" applyFont="1" applyFill="1"/>
    <xf numFmtId="49" fontId="51" fillId="2" borderId="5" xfId="0" applyNumberFormat="1" applyFont="1" applyFill="1" applyBorder="1"/>
    <xf numFmtId="49" fontId="54" fillId="0" borderId="4" xfId="0" applyNumberFormat="1" applyFont="1" applyBorder="1" applyAlignment="1">
      <alignment horizontal="right"/>
    </xf>
    <xf numFmtId="49" fontId="51" fillId="0" borderId="64" xfId="0" applyNumberFormat="1" applyFont="1" applyBorder="1"/>
    <xf numFmtId="49" fontId="51" fillId="0" borderId="13" xfId="0" applyNumberFormat="1" applyFont="1" applyBorder="1"/>
    <xf numFmtId="49" fontId="54" fillId="2" borderId="3" xfId="0" applyNumberFormat="1" applyFont="1" applyFill="1" applyBorder="1" applyAlignment="1">
      <alignment horizontal="right"/>
    </xf>
    <xf numFmtId="49" fontId="51" fillId="2" borderId="7" xfId="0" applyNumberFormat="1" applyFont="1" applyFill="1" applyBorder="1"/>
    <xf numFmtId="49" fontId="55" fillId="0" borderId="8" xfId="0" applyNumberFormat="1" applyFont="1" applyBorder="1" applyAlignment="1">
      <alignment horizontal="right"/>
    </xf>
    <xf numFmtId="49" fontId="51" fillId="0" borderId="6" xfId="0" applyNumberFormat="1" applyFont="1" applyBorder="1"/>
    <xf numFmtId="49" fontId="55" fillId="0" borderId="6" xfId="0" applyNumberFormat="1" applyFont="1" applyBorder="1"/>
    <xf numFmtId="49" fontId="51" fillId="2" borderId="15" xfId="0" applyNumberFormat="1" applyFont="1" applyFill="1" applyBorder="1" applyAlignment="1">
      <alignment horizontal="left"/>
    </xf>
    <xf numFmtId="0" fontId="16" fillId="21" borderId="50" xfId="0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6" fillId="6" borderId="32" xfId="0" applyFont="1" applyFill="1" applyBorder="1" applyAlignment="1">
      <alignment vertical="center" wrapText="1"/>
    </xf>
    <xf numFmtId="0" fontId="56" fillId="6" borderId="43" xfId="0" applyFont="1" applyFill="1" applyBorder="1" applyAlignment="1">
      <alignment vertical="center" wrapText="1"/>
    </xf>
    <xf numFmtId="0" fontId="57" fillId="0" borderId="43" xfId="0" applyFont="1" applyBorder="1" applyAlignment="1">
      <alignment vertical="center" wrapText="1"/>
    </xf>
    <xf numFmtId="0" fontId="42" fillId="0" borderId="43" xfId="0" applyFont="1" applyBorder="1" applyAlignment="1">
      <alignment vertical="center" wrapText="1"/>
    </xf>
    <xf numFmtId="0" fontId="58" fillId="0" borderId="43" xfId="0" applyFont="1" applyBorder="1" applyAlignment="1">
      <alignment vertical="center" wrapText="1"/>
    </xf>
    <xf numFmtId="0" fontId="58" fillId="0" borderId="27" xfId="0" applyFont="1" applyBorder="1" applyAlignment="1">
      <alignment vertical="center" wrapText="1"/>
    </xf>
    <xf numFmtId="1" fontId="40" fillId="0" borderId="5" xfId="0" applyNumberFormat="1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" fillId="24" borderId="42" xfId="0" applyFont="1" applyFill="1" applyBorder="1" applyAlignment="1">
      <alignment horizontal="center" vertical="center" textRotation="90"/>
    </xf>
    <xf numFmtId="0" fontId="4" fillId="24" borderId="44" xfId="0" applyFont="1" applyFill="1" applyBorder="1" applyAlignment="1">
      <alignment horizontal="center" vertical="center" textRotation="90"/>
    </xf>
    <xf numFmtId="0" fontId="4" fillId="24" borderId="18" xfId="0" applyFont="1" applyFill="1" applyBorder="1" applyAlignment="1">
      <alignment horizontal="center" vertical="center" textRotation="90"/>
    </xf>
    <xf numFmtId="0" fontId="61" fillId="25" borderId="3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0" fontId="62" fillId="25" borderId="3" xfId="0" applyFont="1" applyFill="1" applyBorder="1" applyAlignment="1">
      <alignment horizontal="center" vertical="center" textRotation="90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63" fillId="25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5" fillId="24" borderId="42" xfId="0" applyFont="1" applyFill="1" applyBorder="1" applyAlignment="1">
      <alignment horizontal="center" vertical="center"/>
    </xf>
    <xf numFmtId="0" fontId="5" fillId="24" borderId="44" xfId="0" applyFont="1" applyFill="1" applyBorder="1" applyAlignment="1">
      <alignment horizontal="center" vertical="center"/>
    </xf>
    <xf numFmtId="0" fontId="5" fillId="24" borderId="18" xfId="0" applyFont="1" applyFill="1" applyBorder="1" applyAlignment="1">
      <alignment horizontal="center" vertical="center"/>
    </xf>
    <xf numFmtId="0" fontId="61" fillId="25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62" fillId="25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63" fillId="25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49" fillId="2" borderId="28" xfId="0" applyFont="1" applyFill="1" applyBorder="1" applyAlignment="1">
      <alignment horizontal="center"/>
    </xf>
    <xf numFmtId="0" fontId="50" fillId="2" borderId="29" xfId="0" applyFont="1" applyFill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37" fillId="21" borderId="35" xfId="0" applyFont="1" applyFill="1" applyBorder="1" applyAlignment="1">
      <alignment horizontal="center" vertical="center" textRotation="90"/>
    </xf>
    <xf numFmtId="0" fontId="37" fillId="21" borderId="52" xfId="0" applyFont="1" applyFill="1" applyBorder="1" applyAlignment="1">
      <alignment horizontal="center" vertical="center" textRotation="90"/>
    </xf>
    <xf numFmtId="0" fontId="57" fillId="0" borderId="50" xfId="0" applyFont="1" applyBorder="1" applyAlignment="1">
      <alignment vertical="center" wrapText="1"/>
    </xf>
    <xf numFmtId="0" fontId="57" fillId="0" borderId="44" xfId="0" applyFont="1" applyBorder="1" applyAlignment="1">
      <alignment vertical="center" wrapText="1"/>
    </xf>
    <xf numFmtId="0" fontId="57" fillId="0" borderId="47" xfId="0" applyFont="1" applyBorder="1" applyAlignment="1">
      <alignment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56" fillId="6" borderId="75" xfId="0" applyFont="1" applyFill="1" applyBorder="1" applyAlignment="1">
      <alignment vertical="center" wrapText="1"/>
    </xf>
    <xf numFmtId="0" fontId="56" fillId="6" borderId="76" xfId="0" applyFont="1" applyFill="1" applyBorder="1" applyAlignment="1">
      <alignment vertical="center" wrapText="1"/>
    </xf>
    <xf numFmtId="0" fontId="56" fillId="6" borderId="46" xfId="0" applyFont="1" applyFill="1" applyBorder="1" applyAlignment="1">
      <alignment vertical="center" wrapText="1"/>
    </xf>
    <xf numFmtId="0" fontId="56" fillId="6" borderId="50" xfId="0" applyFont="1" applyFill="1" applyBorder="1" applyAlignment="1">
      <alignment vertical="center" wrapText="1"/>
    </xf>
    <xf numFmtId="0" fontId="56" fillId="6" borderId="44" xfId="0" applyFont="1" applyFill="1" applyBorder="1" applyAlignment="1">
      <alignment vertical="center" wrapText="1"/>
    </xf>
    <xf numFmtId="0" fontId="56" fillId="6" borderId="47" xfId="0" applyFont="1" applyFill="1" applyBorder="1" applyAlignment="1">
      <alignment vertical="center" wrapText="1"/>
    </xf>
    <xf numFmtId="0" fontId="42" fillId="0" borderId="50" xfId="0" applyFont="1" applyBorder="1" applyAlignment="1">
      <alignment vertical="center" wrapText="1"/>
    </xf>
    <xf numFmtId="0" fontId="42" fillId="0" borderId="44" xfId="0" applyFont="1" applyBorder="1" applyAlignment="1">
      <alignment vertical="center" wrapText="1"/>
    </xf>
    <xf numFmtId="0" fontId="42" fillId="0" borderId="47" xfId="0" applyFont="1" applyBorder="1" applyAlignment="1">
      <alignment vertical="center" wrapText="1"/>
    </xf>
    <xf numFmtId="0" fontId="58" fillId="0" borderId="50" xfId="0" applyFont="1" applyBorder="1" applyAlignment="1">
      <alignment vertical="center" wrapText="1"/>
    </xf>
    <xf numFmtId="0" fontId="58" fillId="0" borderId="44" xfId="0" applyFont="1" applyBorder="1" applyAlignment="1">
      <alignment vertical="center" wrapText="1"/>
    </xf>
    <xf numFmtId="0" fontId="58" fillId="0" borderId="47" xfId="0" applyFont="1" applyBorder="1" applyAlignment="1">
      <alignment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58" fillId="0" borderId="51" xfId="0" applyFont="1" applyBorder="1" applyAlignment="1">
      <alignment vertical="center" wrapText="1"/>
    </xf>
    <xf numFmtId="0" fontId="58" fillId="0" borderId="65" xfId="0" applyFont="1" applyBorder="1" applyAlignment="1">
      <alignment vertical="center" wrapText="1"/>
    </xf>
    <xf numFmtId="0" fontId="58" fillId="0" borderId="48" xfId="0" applyFont="1" applyBorder="1" applyAlignment="1">
      <alignment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1" fontId="0" fillId="27" borderId="42" xfId="0" applyNumberFormat="1" applyFill="1" applyBorder="1" applyAlignment="1">
      <alignment horizontal="center" vertical="center"/>
    </xf>
    <xf numFmtId="1" fontId="0" fillId="27" borderId="18" xfId="0" applyNumberFormat="1" applyFill="1" applyBorder="1" applyAlignment="1">
      <alignment horizontal="center" vertical="center"/>
    </xf>
    <xf numFmtId="0" fontId="5" fillId="31" borderId="0" xfId="0" applyFont="1" applyFill="1"/>
    <xf numFmtId="0" fontId="5" fillId="30" borderId="0" xfId="0" applyFont="1" applyFill="1"/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  <dxf>
      <font>
        <color rgb="FF00B050"/>
      </font>
    </dxf>
    <dxf>
      <font>
        <color theme="9" tint="-0.24994659260841701"/>
      </font>
    </dxf>
    <dxf>
      <font>
        <color rgb="FFFF0000"/>
      </font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workbookViewId="0">
      <selection activeCell="F3" sqref="F3:F20"/>
    </sheetView>
  </sheetViews>
  <sheetFormatPr defaultRowHeight="15" x14ac:dyDescent="0.25"/>
  <cols>
    <col min="1" max="1" width="8.28515625" customWidth="1"/>
    <col min="2" max="2" width="37.7109375" customWidth="1"/>
    <col min="3" max="3" width="6.28515625" customWidth="1"/>
    <col min="4" max="4" width="9.140625" customWidth="1"/>
    <col min="5" max="5" width="37.42578125" bestFit="1" customWidth="1"/>
    <col min="6" max="6" width="12.7109375" customWidth="1"/>
    <col min="7" max="7" width="19.5703125" style="293" customWidth="1"/>
  </cols>
  <sheetData>
    <row r="1" spans="1:7" ht="24.75" customHeight="1" thickBot="1" x14ac:dyDescent="0.3">
      <c r="A1" s="399" t="s">
        <v>71</v>
      </c>
      <c r="B1" s="400"/>
      <c r="C1" s="400"/>
      <c r="D1" s="400"/>
      <c r="E1" s="400"/>
      <c r="F1" s="292"/>
    </row>
    <row r="2" spans="1:7" ht="15.75" thickBot="1" x14ac:dyDescent="0.3">
      <c r="A2" s="294" t="s">
        <v>0</v>
      </c>
      <c r="B2" s="295" t="s">
        <v>16</v>
      </c>
      <c r="C2" s="295" t="s">
        <v>2</v>
      </c>
      <c r="D2" s="295" t="s">
        <v>1</v>
      </c>
      <c r="E2" s="296" t="s">
        <v>79</v>
      </c>
      <c r="F2" s="292" t="s">
        <v>15</v>
      </c>
      <c r="G2" s="297"/>
    </row>
    <row r="3" spans="1:7" ht="32.1" customHeight="1" x14ac:dyDescent="0.25">
      <c r="A3" s="298">
        <v>0.41666666666666669</v>
      </c>
      <c r="B3" s="299" t="s">
        <v>69</v>
      </c>
      <c r="C3" s="299">
        <v>35</v>
      </c>
      <c r="D3" s="299" t="s">
        <v>70</v>
      </c>
      <c r="E3" s="300"/>
      <c r="F3" s="301" t="s">
        <v>80</v>
      </c>
      <c r="G3" s="297"/>
    </row>
    <row r="4" spans="1:7" ht="31.5" x14ac:dyDescent="0.25">
      <c r="A4" s="302">
        <v>0.41666666666666669</v>
      </c>
      <c r="B4" s="303" t="s">
        <v>81</v>
      </c>
      <c r="C4" s="304">
        <v>50</v>
      </c>
      <c r="D4" s="304" t="s">
        <v>4</v>
      </c>
      <c r="E4" s="305" t="s">
        <v>82</v>
      </c>
      <c r="F4" s="306" t="s">
        <v>3</v>
      </c>
      <c r="G4" s="297"/>
    </row>
    <row r="5" spans="1:7" ht="28.5" customHeight="1" x14ac:dyDescent="0.25">
      <c r="A5" s="302">
        <v>0.41666666666666669</v>
      </c>
      <c r="B5" s="303" t="s">
        <v>83</v>
      </c>
      <c r="C5" s="304">
        <v>20</v>
      </c>
      <c r="D5" s="304" t="s">
        <v>4</v>
      </c>
      <c r="E5" s="307" t="s">
        <v>84</v>
      </c>
      <c r="F5" s="306" t="s">
        <v>85</v>
      </c>
      <c r="G5" s="297"/>
    </row>
    <row r="6" spans="1:7" ht="20.45" customHeight="1" x14ac:dyDescent="0.25">
      <c r="A6" s="308">
        <v>0.4375</v>
      </c>
      <c r="B6" s="309" t="s">
        <v>86</v>
      </c>
      <c r="C6" s="310">
        <v>35</v>
      </c>
      <c r="D6" s="310" t="s">
        <v>70</v>
      </c>
      <c r="E6" s="311"/>
      <c r="F6" s="306" t="s">
        <v>87</v>
      </c>
      <c r="G6" s="297"/>
    </row>
    <row r="7" spans="1:7" ht="18" customHeight="1" x14ac:dyDescent="0.25">
      <c r="A7" s="308">
        <v>0.44791666666666669</v>
      </c>
      <c r="B7" s="310" t="s">
        <v>69</v>
      </c>
      <c r="C7" s="310">
        <v>35</v>
      </c>
      <c r="D7" s="310" t="s">
        <v>70</v>
      </c>
      <c r="E7" s="311"/>
      <c r="F7" s="306" t="s">
        <v>88</v>
      </c>
      <c r="G7" s="297"/>
    </row>
    <row r="8" spans="1:7" ht="36.950000000000003" customHeight="1" x14ac:dyDescent="0.25">
      <c r="A8" s="302">
        <v>0.45833333333333331</v>
      </c>
      <c r="B8" s="312" t="s">
        <v>89</v>
      </c>
      <c r="C8" s="304">
        <v>35</v>
      </c>
      <c r="D8" s="304" t="s">
        <v>4</v>
      </c>
      <c r="E8" s="307" t="s">
        <v>90</v>
      </c>
      <c r="F8" s="306" t="s">
        <v>91</v>
      </c>
      <c r="G8" s="297"/>
    </row>
    <row r="9" spans="1:7" ht="21.6" customHeight="1" x14ac:dyDescent="0.25">
      <c r="A9" s="308">
        <v>0.45833333333333331</v>
      </c>
      <c r="B9" s="310" t="s">
        <v>69</v>
      </c>
      <c r="C9" s="310">
        <v>35</v>
      </c>
      <c r="D9" s="310" t="s">
        <v>70</v>
      </c>
      <c r="E9" s="313"/>
      <c r="F9" s="306" t="s">
        <v>92</v>
      </c>
      <c r="G9" s="297"/>
    </row>
    <row r="10" spans="1:7" ht="20.45" customHeight="1" x14ac:dyDescent="0.25">
      <c r="A10" s="314">
        <v>0.47916666666666669</v>
      </c>
      <c r="B10" s="309" t="s">
        <v>69</v>
      </c>
      <c r="C10" s="309">
        <v>35</v>
      </c>
      <c r="D10" s="309" t="s">
        <v>70</v>
      </c>
      <c r="E10" s="315"/>
      <c r="F10" s="306" t="s">
        <v>93</v>
      </c>
      <c r="G10" s="297"/>
    </row>
    <row r="11" spans="1:7" ht="20.45" customHeight="1" x14ac:dyDescent="0.25">
      <c r="A11" s="314">
        <v>0.5</v>
      </c>
      <c r="B11" s="309" t="s">
        <v>69</v>
      </c>
      <c r="C11" s="309">
        <v>35</v>
      </c>
      <c r="D11" s="309" t="s">
        <v>70</v>
      </c>
      <c r="E11" s="315"/>
      <c r="F11" s="306" t="s">
        <v>85</v>
      </c>
      <c r="G11" s="297"/>
    </row>
    <row r="12" spans="1:7" ht="27.6" customHeight="1" x14ac:dyDescent="0.25">
      <c r="A12" s="302">
        <v>0.52083333333333337</v>
      </c>
      <c r="B12" s="312" t="s">
        <v>94</v>
      </c>
      <c r="C12" s="304">
        <v>9</v>
      </c>
      <c r="D12" s="304" t="s">
        <v>4</v>
      </c>
      <c r="E12" s="316" t="s">
        <v>82</v>
      </c>
      <c r="F12" s="306" t="s">
        <v>80</v>
      </c>
      <c r="G12" s="297"/>
    </row>
    <row r="13" spans="1:7" ht="20.45" customHeight="1" x14ac:dyDescent="0.25">
      <c r="A13" s="314">
        <v>0.52083333333333337</v>
      </c>
      <c r="B13" s="309" t="s">
        <v>86</v>
      </c>
      <c r="C13" s="309">
        <v>35</v>
      </c>
      <c r="D13" s="309" t="s">
        <v>70</v>
      </c>
      <c r="E13" s="315"/>
      <c r="F13" s="306" t="s">
        <v>95</v>
      </c>
      <c r="G13" s="297"/>
    </row>
    <row r="14" spans="1:7" ht="20.45" customHeight="1" x14ac:dyDescent="0.25">
      <c r="A14" s="308">
        <v>4.1666666666666664E-2</v>
      </c>
      <c r="B14" s="310" t="s">
        <v>69</v>
      </c>
      <c r="C14" s="310">
        <v>35</v>
      </c>
      <c r="D14" s="310" t="s">
        <v>70</v>
      </c>
      <c r="E14" s="313"/>
      <c r="F14" s="306" t="s">
        <v>96</v>
      </c>
      <c r="G14" s="297"/>
    </row>
    <row r="15" spans="1:7" ht="31.5" x14ac:dyDescent="0.25">
      <c r="A15" s="302">
        <v>6.25E-2</v>
      </c>
      <c r="B15" s="303" t="s">
        <v>97</v>
      </c>
      <c r="C15" s="304">
        <v>50</v>
      </c>
      <c r="D15" s="304" t="s">
        <v>4</v>
      </c>
      <c r="E15" s="307" t="s">
        <v>82</v>
      </c>
      <c r="F15" s="306" t="s">
        <v>98</v>
      </c>
      <c r="G15" s="297"/>
    </row>
    <row r="16" spans="1:7" ht="21" customHeight="1" x14ac:dyDescent="0.25">
      <c r="A16" s="314">
        <v>8.3333333333333329E-2</v>
      </c>
      <c r="B16" s="309" t="s">
        <v>69</v>
      </c>
      <c r="C16" s="309">
        <v>35</v>
      </c>
      <c r="D16" s="309" t="s">
        <v>70</v>
      </c>
      <c r="E16" s="315"/>
      <c r="F16" s="306" t="s">
        <v>93</v>
      </c>
      <c r="G16" s="297"/>
    </row>
    <row r="17" spans="1:7" ht="22.5" customHeight="1" x14ac:dyDescent="0.25">
      <c r="A17" s="317">
        <v>0.10416666666666667</v>
      </c>
      <c r="B17" s="318" t="s">
        <v>69</v>
      </c>
      <c r="C17" s="318">
        <v>35</v>
      </c>
      <c r="D17" s="318" t="s">
        <v>70</v>
      </c>
      <c r="E17" s="319"/>
      <c r="F17" s="306" t="s">
        <v>99</v>
      </c>
      <c r="G17" s="297"/>
    </row>
    <row r="18" spans="1:7" ht="20.45" customHeight="1" x14ac:dyDescent="0.25">
      <c r="A18" s="320">
        <v>0.125</v>
      </c>
      <c r="B18" s="321" t="s">
        <v>69</v>
      </c>
      <c r="C18" s="321">
        <v>35</v>
      </c>
      <c r="D18" s="321" t="s">
        <v>70</v>
      </c>
      <c r="E18" s="322"/>
      <c r="F18" s="323" t="s">
        <v>100</v>
      </c>
      <c r="G18" s="297"/>
    </row>
    <row r="19" spans="1:7" ht="20.45" customHeight="1" thickBot="1" x14ac:dyDescent="0.3">
      <c r="A19" s="324" t="s">
        <v>101</v>
      </c>
      <c r="B19" s="325" t="s">
        <v>69</v>
      </c>
      <c r="C19" s="326" t="s">
        <v>102</v>
      </c>
      <c r="D19" s="327" t="s">
        <v>70</v>
      </c>
      <c r="E19" s="328"/>
      <c r="F19" s="329" t="s">
        <v>91</v>
      </c>
      <c r="G19" s="297"/>
    </row>
    <row r="20" spans="1:7" ht="20.45" customHeight="1" thickBot="1" x14ac:dyDescent="0.3">
      <c r="A20" s="330" t="s">
        <v>103</v>
      </c>
      <c r="B20" s="331" t="s">
        <v>69</v>
      </c>
      <c r="C20" s="332" t="s">
        <v>102</v>
      </c>
      <c r="D20" s="333" t="s">
        <v>70</v>
      </c>
      <c r="E20" s="334"/>
      <c r="F20" s="335" t="s">
        <v>99</v>
      </c>
      <c r="G20" s="297"/>
    </row>
    <row r="21" spans="1:7" ht="20.45" customHeight="1" x14ac:dyDescent="0.25">
      <c r="A21" s="336" t="s">
        <v>104</v>
      </c>
      <c r="B21" s="337" t="s">
        <v>105</v>
      </c>
      <c r="C21" s="338"/>
      <c r="D21" s="339" t="s">
        <v>106</v>
      </c>
      <c r="E21" s="340"/>
      <c r="F21" s="341"/>
      <c r="G21"/>
    </row>
    <row r="22" spans="1:7" ht="20.45" customHeight="1" x14ac:dyDescent="0.25">
      <c r="A22" s="342" t="s">
        <v>107</v>
      </c>
      <c r="B22" s="343" t="s">
        <v>108</v>
      </c>
      <c r="C22" s="344"/>
      <c r="D22" s="345" t="s">
        <v>109</v>
      </c>
      <c r="E22" s="339"/>
      <c r="F22" s="341"/>
      <c r="G22"/>
    </row>
    <row r="23" spans="1:7" ht="20.45" customHeight="1" x14ac:dyDescent="0.25">
      <c r="A23" s="342" t="s">
        <v>110</v>
      </c>
      <c r="B23" s="345" t="s">
        <v>111</v>
      </c>
      <c r="C23" s="344"/>
      <c r="D23" s="345" t="s">
        <v>112</v>
      </c>
      <c r="E23" s="346"/>
      <c r="F23" s="347"/>
      <c r="G23"/>
    </row>
    <row r="24" spans="1:7" ht="20.45" customHeight="1" x14ac:dyDescent="0.25">
      <c r="A24" s="342" t="s">
        <v>113</v>
      </c>
      <c r="B24" s="338" t="s">
        <v>114</v>
      </c>
      <c r="C24" s="344"/>
      <c r="D24" s="345" t="s">
        <v>115</v>
      </c>
      <c r="E24" s="348"/>
      <c r="F24" s="347"/>
      <c r="G24"/>
    </row>
    <row r="25" spans="1:7" ht="20.45" customHeight="1" x14ac:dyDescent="0.25">
      <c r="A25" s="349" t="s">
        <v>116</v>
      </c>
      <c r="B25" s="350" t="s">
        <v>117</v>
      </c>
      <c r="C25" s="351"/>
      <c r="D25" s="352" t="s">
        <v>116</v>
      </c>
      <c r="E25" s="353"/>
      <c r="F25" s="347"/>
      <c r="G25"/>
    </row>
    <row r="26" spans="1:7" ht="20.45" customHeight="1" thickBot="1" x14ac:dyDescent="0.3">
      <c r="A26" s="354" t="s">
        <v>118</v>
      </c>
      <c r="B26" s="328"/>
      <c r="C26" s="355"/>
      <c r="D26" s="356" t="s">
        <v>118</v>
      </c>
      <c r="E26" s="357"/>
      <c r="F26" s="347"/>
      <c r="G26"/>
    </row>
  </sheetData>
  <mergeCells count="1">
    <mergeCell ref="A1:E1"/>
  </mergeCells>
  <pageMargins left="0.25" right="0.25" top="0.75" bottom="0.75" header="0.3" footer="0.3"/>
  <pageSetup scale="7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C60"/>
  <sheetViews>
    <sheetView workbookViewId="0">
      <selection activeCell="AB1" sqref="AB1:AB1048576"/>
    </sheetView>
  </sheetViews>
  <sheetFormatPr defaultRowHeight="15" x14ac:dyDescent="0.25"/>
  <cols>
    <col min="1" max="1" width="5.7109375" bestFit="1" customWidth="1"/>
    <col min="2" max="2" width="15.5703125" style="54" customWidth="1"/>
    <col min="3" max="4" width="4.85546875" style="54" customWidth="1"/>
    <col min="5" max="5" width="4.5703125" style="138" bestFit="1" customWidth="1"/>
    <col min="6" max="6" width="19.28515625" style="54" bestFit="1" customWidth="1"/>
    <col min="7" max="7" width="7.42578125" style="22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7" max="27" width="8.42578125" customWidth="1"/>
  </cols>
  <sheetData>
    <row r="1" spans="1:27" ht="16.5" thickBot="1" x14ac:dyDescent="0.3">
      <c r="A1" s="401" t="s">
        <v>71</v>
      </c>
      <c r="B1" s="401"/>
      <c r="C1" s="401"/>
      <c r="D1" s="401"/>
      <c r="E1" s="401"/>
      <c r="F1" s="401"/>
      <c r="G1" s="402"/>
      <c r="H1" s="405" t="s">
        <v>19</v>
      </c>
      <c r="I1" s="406"/>
      <c r="J1" s="406"/>
      <c r="K1" s="406"/>
      <c r="L1" s="406"/>
      <c r="M1" s="406"/>
      <c r="N1" s="406"/>
      <c r="O1" s="406"/>
      <c r="P1" s="407"/>
    </row>
    <row r="2" spans="1:27" ht="16.5" thickBot="1" x14ac:dyDescent="0.3">
      <c r="A2" s="403"/>
      <c r="B2" s="403"/>
      <c r="C2" s="403"/>
      <c r="D2" s="403"/>
      <c r="E2" s="403"/>
      <c r="F2" s="403"/>
      <c r="G2" s="404"/>
      <c r="H2" s="408" t="s">
        <v>8</v>
      </c>
      <c r="I2" s="410" t="s">
        <v>21</v>
      </c>
      <c r="J2" s="411"/>
      <c r="K2" s="435" t="s">
        <v>8</v>
      </c>
      <c r="L2" s="437" t="s">
        <v>20</v>
      </c>
      <c r="M2" s="438"/>
      <c r="N2" s="412" t="s">
        <v>8</v>
      </c>
      <c r="O2" s="414" t="s">
        <v>4</v>
      </c>
      <c r="P2" s="415"/>
      <c r="Q2" s="447" t="s">
        <v>9</v>
      </c>
      <c r="R2" s="448"/>
      <c r="S2" s="449"/>
      <c r="T2" s="42"/>
      <c r="U2" s="450" t="s">
        <v>5</v>
      </c>
      <c r="V2" s="452" t="s">
        <v>6</v>
      </c>
      <c r="W2" s="416" t="s">
        <v>7</v>
      </c>
      <c r="X2" s="416" t="s">
        <v>24</v>
      </c>
      <c r="AA2" s="418" t="s">
        <v>23</v>
      </c>
    </row>
    <row r="3" spans="1:27" ht="28.5" x14ac:dyDescent="0.25">
      <c r="A3" s="43" t="s">
        <v>0</v>
      </c>
      <c r="B3" s="119" t="s">
        <v>16</v>
      </c>
      <c r="C3" s="45" t="s">
        <v>2</v>
      </c>
      <c r="D3" s="46" t="s">
        <v>78</v>
      </c>
      <c r="E3" s="132" t="s">
        <v>1</v>
      </c>
      <c r="F3" s="47" t="s">
        <v>18</v>
      </c>
      <c r="G3" s="125" t="s">
        <v>15</v>
      </c>
      <c r="H3" s="409"/>
      <c r="I3" s="34" t="s">
        <v>13</v>
      </c>
      <c r="J3" s="35" t="s">
        <v>14</v>
      </c>
      <c r="K3" s="436"/>
      <c r="L3" s="36" t="s">
        <v>13</v>
      </c>
      <c r="M3" s="37" t="s">
        <v>14</v>
      </c>
      <c r="N3" s="413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1"/>
      <c r="V3" s="453"/>
      <c r="W3" s="417"/>
      <c r="X3" s="417"/>
      <c r="AA3" s="419"/>
    </row>
    <row r="4" spans="1:27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AA4" s="5"/>
    </row>
    <row r="5" spans="1:27" ht="30" customHeight="1" x14ac:dyDescent="0.25">
      <c r="A5" s="59">
        <v>0.41666666666666669</v>
      </c>
      <c r="B5" s="282" t="s">
        <v>73</v>
      </c>
      <c r="C5" s="61">
        <v>50</v>
      </c>
      <c r="D5" s="61" t="s">
        <v>10</v>
      </c>
      <c r="E5" s="137" t="s">
        <v>4</v>
      </c>
      <c r="F5" s="63" t="s">
        <v>72</v>
      </c>
      <c r="G5" s="130" t="s">
        <v>80</v>
      </c>
      <c r="H5" s="32" t="s">
        <v>10</v>
      </c>
      <c r="I5" s="17" t="s">
        <v>10</v>
      </c>
      <c r="J5" s="18" t="s">
        <v>10</v>
      </c>
      <c r="K5" s="33" t="s">
        <v>10</v>
      </c>
      <c r="L5" s="17" t="s">
        <v>10</v>
      </c>
      <c r="M5" s="18" t="s">
        <v>10</v>
      </c>
      <c r="N5" s="102"/>
      <c r="O5" s="17"/>
      <c r="P5" s="18"/>
      <c r="Q5" s="108" t="s">
        <v>10</v>
      </c>
      <c r="R5" s="109" t="s">
        <v>10</v>
      </c>
      <c r="S5" s="110"/>
      <c r="T5" s="13" t="s">
        <v>10</v>
      </c>
      <c r="U5" s="274" t="s">
        <v>10</v>
      </c>
      <c r="V5" s="190" t="s">
        <v>10</v>
      </c>
      <c r="W5" s="275" t="s">
        <v>10</v>
      </c>
      <c r="X5" s="275" t="s">
        <v>10</v>
      </c>
      <c r="AA5" s="16" t="s">
        <v>10</v>
      </c>
    </row>
    <row r="6" spans="1:27" ht="30" customHeight="1" x14ac:dyDescent="0.25">
      <c r="A6" s="59">
        <v>0.41666666666666669</v>
      </c>
      <c r="B6" s="282" t="s">
        <v>74</v>
      </c>
      <c r="C6" s="61">
        <v>20</v>
      </c>
      <c r="D6" s="61" t="s">
        <v>10</v>
      </c>
      <c r="E6" s="137" t="s">
        <v>4</v>
      </c>
      <c r="F6" s="63" t="s">
        <v>72</v>
      </c>
      <c r="G6" s="130" t="s">
        <v>3</v>
      </c>
      <c r="H6" s="32" t="s">
        <v>10</v>
      </c>
      <c r="I6" s="17" t="s">
        <v>10</v>
      </c>
      <c r="J6" s="18" t="s">
        <v>10</v>
      </c>
      <c r="K6" s="33" t="s">
        <v>10</v>
      </c>
      <c r="L6" s="17" t="s">
        <v>10</v>
      </c>
      <c r="M6" s="18" t="s">
        <v>10</v>
      </c>
      <c r="N6" s="102"/>
      <c r="O6" s="17"/>
      <c r="P6" s="18"/>
      <c r="Q6" s="108" t="s">
        <v>123</v>
      </c>
      <c r="R6" s="109" t="s">
        <v>10</v>
      </c>
      <c r="S6" s="110"/>
      <c r="T6" s="13" t="s">
        <v>10</v>
      </c>
      <c r="U6" s="274" t="s">
        <v>10</v>
      </c>
      <c r="V6" s="190" t="s">
        <v>10</v>
      </c>
      <c r="W6" s="275" t="s">
        <v>10</v>
      </c>
      <c r="X6" s="275" t="s">
        <v>10</v>
      </c>
      <c r="AA6" s="16" t="s">
        <v>10</v>
      </c>
    </row>
    <row r="7" spans="1:27" ht="20.100000000000001" customHeight="1" x14ac:dyDescent="0.25">
      <c r="A7" s="51">
        <v>0.41666666666666669</v>
      </c>
      <c r="B7" s="280" t="s">
        <v>69</v>
      </c>
      <c r="C7" s="283">
        <v>45</v>
      </c>
      <c r="D7" s="285">
        <f>45-6</f>
        <v>39</v>
      </c>
      <c r="E7" s="134" t="s">
        <v>70</v>
      </c>
      <c r="F7" s="279">
        <f>(45-6)/45</f>
        <v>0.8666666666666667</v>
      </c>
      <c r="G7" s="127" t="s">
        <v>85</v>
      </c>
      <c r="H7" s="32"/>
      <c r="I7" s="19"/>
      <c r="J7" s="20"/>
      <c r="K7" s="33" t="s">
        <v>10</v>
      </c>
      <c r="L7" s="19" t="s">
        <v>10</v>
      </c>
      <c r="M7" s="20" t="s">
        <v>10</v>
      </c>
      <c r="N7" s="102" t="s">
        <v>10</v>
      </c>
      <c r="O7" s="19" t="s">
        <v>10</v>
      </c>
      <c r="P7" s="20"/>
      <c r="Q7" s="108"/>
      <c r="R7" s="109" t="s">
        <v>10</v>
      </c>
      <c r="S7" s="110" t="s">
        <v>10</v>
      </c>
      <c r="T7" s="31">
        <f>A7+TIME(2,0,0)</f>
        <v>0.5</v>
      </c>
      <c r="U7" s="111">
        <v>0</v>
      </c>
      <c r="V7" s="112">
        <v>0</v>
      </c>
      <c r="W7" s="113">
        <v>8</v>
      </c>
      <c r="X7" s="113">
        <v>1</v>
      </c>
      <c r="AA7" s="69" t="s">
        <v>125</v>
      </c>
    </row>
    <row r="8" spans="1:27" ht="20.100000000000001" customHeight="1" x14ac:dyDescent="0.25">
      <c r="A8" s="51">
        <v>0.4375</v>
      </c>
      <c r="B8" s="280" t="s">
        <v>69</v>
      </c>
      <c r="C8" s="283">
        <v>45</v>
      </c>
      <c r="D8" s="285">
        <f>45-10</f>
        <v>35</v>
      </c>
      <c r="E8" s="134" t="s">
        <v>70</v>
      </c>
      <c r="F8" s="279">
        <f>(45-10)/45</f>
        <v>0.77777777777777779</v>
      </c>
      <c r="G8" s="127" t="s">
        <v>122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108"/>
      <c r="R8" s="109" t="s">
        <v>10</v>
      </c>
      <c r="S8" s="110" t="s">
        <v>10</v>
      </c>
      <c r="T8" s="31">
        <f>A8+TIME(2,0,0)</f>
        <v>0.52083333333333337</v>
      </c>
      <c r="U8" s="111">
        <v>0</v>
      </c>
      <c r="V8" s="112">
        <v>7</v>
      </c>
      <c r="W8" s="113">
        <v>0</v>
      </c>
      <c r="X8" s="113">
        <v>6</v>
      </c>
      <c r="AA8" s="69" t="s">
        <v>128</v>
      </c>
    </row>
    <row r="9" spans="1:27" ht="20.100000000000001" customHeight="1" x14ac:dyDescent="0.25">
      <c r="A9" s="51">
        <v>0.44791666666666669</v>
      </c>
      <c r="B9" s="280" t="s">
        <v>69</v>
      </c>
      <c r="C9" s="283">
        <v>45</v>
      </c>
      <c r="D9" s="286">
        <f>45-16</f>
        <v>29</v>
      </c>
      <c r="E9" s="134" t="s">
        <v>70</v>
      </c>
      <c r="F9" s="279">
        <f>(45-16)/45</f>
        <v>0.64444444444444449</v>
      </c>
      <c r="G9" s="127" t="s">
        <v>88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108"/>
      <c r="R9" s="109" t="s">
        <v>10</v>
      </c>
      <c r="S9" s="110" t="s">
        <v>10</v>
      </c>
      <c r="T9" s="31"/>
      <c r="U9" s="111">
        <v>0</v>
      </c>
      <c r="V9" s="112">
        <v>0</v>
      </c>
      <c r="W9" s="113">
        <v>2</v>
      </c>
      <c r="X9" s="113">
        <v>0</v>
      </c>
      <c r="AA9" s="69" t="s">
        <v>124</v>
      </c>
    </row>
    <row r="10" spans="1:27" ht="20.100000000000001" customHeight="1" x14ac:dyDescent="0.25">
      <c r="A10" s="51">
        <v>0.45833333333333331</v>
      </c>
      <c r="B10" s="280" t="s">
        <v>69</v>
      </c>
      <c r="C10" s="283">
        <v>45</v>
      </c>
      <c r="D10" s="285">
        <f>45-3</f>
        <v>42</v>
      </c>
      <c r="E10" s="134" t="s">
        <v>70</v>
      </c>
      <c r="F10" s="279">
        <f>(45-3)/45</f>
        <v>0.93333333333333335</v>
      </c>
      <c r="G10" s="127" t="s">
        <v>91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108"/>
      <c r="R10" s="109" t="s">
        <v>10</v>
      </c>
      <c r="S10" s="110" t="s">
        <v>10</v>
      </c>
      <c r="T10" s="31">
        <f>A10+TIME(2,0,0)</f>
        <v>0.54166666666666663</v>
      </c>
      <c r="U10" s="111">
        <v>0</v>
      </c>
      <c r="V10" s="112">
        <v>5</v>
      </c>
      <c r="W10" s="113">
        <v>3</v>
      </c>
      <c r="X10" s="113">
        <v>0</v>
      </c>
      <c r="AA10" s="69" t="s">
        <v>128</v>
      </c>
    </row>
    <row r="11" spans="1:27" ht="30" customHeight="1" x14ac:dyDescent="0.25">
      <c r="A11" s="59">
        <v>0.45833333333333331</v>
      </c>
      <c r="B11" s="282" t="s">
        <v>77</v>
      </c>
      <c r="C11" s="61">
        <v>20</v>
      </c>
      <c r="D11" s="61" t="s">
        <v>10</v>
      </c>
      <c r="E11" s="137" t="s">
        <v>4</v>
      </c>
      <c r="F11" s="63" t="s">
        <v>72</v>
      </c>
      <c r="G11" s="130" t="s">
        <v>92</v>
      </c>
      <c r="H11" s="32" t="s">
        <v>10</v>
      </c>
      <c r="I11" s="17" t="s">
        <v>10</v>
      </c>
      <c r="J11" s="18" t="s">
        <v>10</v>
      </c>
      <c r="K11" s="33" t="s">
        <v>10</v>
      </c>
      <c r="L11" s="17" t="s">
        <v>10</v>
      </c>
      <c r="M11" s="18" t="s">
        <v>10</v>
      </c>
      <c r="N11" s="102"/>
      <c r="O11" s="17"/>
      <c r="P11" s="18"/>
      <c r="Q11" s="108" t="s">
        <v>10</v>
      </c>
      <c r="R11" s="109" t="s">
        <v>10</v>
      </c>
      <c r="S11" s="110"/>
      <c r="T11" s="13" t="s">
        <v>10</v>
      </c>
      <c r="U11" s="274" t="s">
        <v>10</v>
      </c>
      <c r="V11" s="190" t="s">
        <v>10</v>
      </c>
      <c r="W11" s="275" t="s">
        <v>10</v>
      </c>
      <c r="X11" s="275" t="s">
        <v>10</v>
      </c>
      <c r="AA11" s="16" t="s">
        <v>10</v>
      </c>
    </row>
    <row r="12" spans="1:27" ht="20.100000000000001" customHeight="1" x14ac:dyDescent="0.25">
      <c r="A12" s="51">
        <v>0.47916666666666669</v>
      </c>
      <c r="B12" s="280" t="s">
        <v>69</v>
      </c>
      <c r="C12" s="284">
        <v>45</v>
      </c>
      <c r="D12" s="286">
        <f>45-24</f>
        <v>21</v>
      </c>
      <c r="E12" s="134" t="s">
        <v>70</v>
      </c>
      <c r="F12" s="279">
        <f>(45-24)/45</f>
        <v>0.46666666666666667</v>
      </c>
      <c r="G12" s="127" t="s">
        <v>93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108"/>
      <c r="R12" s="109" t="s">
        <v>10</v>
      </c>
      <c r="S12" s="110" t="s">
        <v>10</v>
      </c>
      <c r="T12" s="31">
        <f>A12+TIME(2,0,0)</f>
        <v>0.5625</v>
      </c>
      <c r="U12" s="111">
        <v>0</v>
      </c>
      <c r="V12" s="112">
        <v>7</v>
      </c>
      <c r="W12" s="113">
        <v>2</v>
      </c>
      <c r="X12" s="113">
        <v>3</v>
      </c>
      <c r="AA12" s="69" t="s">
        <v>129</v>
      </c>
    </row>
    <row r="13" spans="1:27" ht="20.100000000000001" customHeight="1" x14ac:dyDescent="0.25">
      <c r="A13" s="51">
        <v>0.5</v>
      </c>
      <c r="B13" s="280" t="s">
        <v>69</v>
      </c>
      <c r="C13" s="284">
        <v>45</v>
      </c>
      <c r="D13" s="286">
        <f>45-14</f>
        <v>31</v>
      </c>
      <c r="E13" s="134" t="s">
        <v>70</v>
      </c>
      <c r="F13" s="281">
        <f>(45-14)/45</f>
        <v>0.68888888888888888</v>
      </c>
      <c r="G13" s="127" t="s">
        <v>85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108"/>
      <c r="R13" s="109" t="s">
        <v>10</v>
      </c>
      <c r="S13" s="110" t="s">
        <v>10</v>
      </c>
      <c r="T13" s="31">
        <f>A13+TIME(2,0,0)</f>
        <v>0.58333333333333337</v>
      </c>
      <c r="U13" s="111">
        <v>0</v>
      </c>
      <c r="V13" s="112">
        <v>0</v>
      </c>
      <c r="W13" s="113">
        <v>5</v>
      </c>
      <c r="X13" s="113">
        <v>1</v>
      </c>
      <c r="AA13" s="69" t="s">
        <v>130</v>
      </c>
    </row>
    <row r="14" spans="1:27" ht="20.100000000000001" customHeight="1" x14ac:dyDescent="0.25">
      <c r="A14" s="51">
        <v>0.52083333333333337</v>
      </c>
      <c r="B14" s="280" t="s">
        <v>69</v>
      </c>
      <c r="C14" s="284">
        <v>45</v>
      </c>
      <c r="D14" s="287">
        <f>45-32</f>
        <v>13</v>
      </c>
      <c r="E14" s="134" t="s">
        <v>70</v>
      </c>
      <c r="F14" s="279">
        <f>(45-32)/45</f>
        <v>0.28888888888888886</v>
      </c>
      <c r="G14" s="127" t="s">
        <v>80</v>
      </c>
      <c r="H14" s="32"/>
      <c r="I14" s="19"/>
      <c r="J14" s="20"/>
      <c r="K14" s="33" t="s">
        <v>10</v>
      </c>
      <c r="L14" s="19" t="s">
        <v>10</v>
      </c>
      <c r="M14" s="20" t="s">
        <v>10</v>
      </c>
      <c r="N14" s="102" t="s">
        <v>10</v>
      </c>
      <c r="O14" s="19" t="s">
        <v>10</v>
      </c>
      <c r="P14" s="20" t="s">
        <v>10</v>
      </c>
      <c r="Q14" s="108"/>
      <c r="R14" s="109" t="s">
        <v>10</v>
      </c>
      <c r="S14" s="110" t="s">
        <v>10</v>
      </c>
      <c r="T14" s="31">
        <f>A14+TIME(2,0,0)</f>
        <v>0.60416666666666674</v>
      </c>
      <c r="U14" s="111">
        <v>0</v>
      </c>
      <c r="V14" s="112">
        <v>2</v>
      </c>
      <c r="W14" s="113">
        <v>2</v>
      </c>
      <c r="X14" s="113">
        <v>0</v>
      </c>
      <c r="AA14" s="69" t="s">
        <v>106</v>
      </c>
    </row>
    <row r="15" spans="1:27" ht="30" customHeight="1" x14ac:dyDescent="0.25">
      <c r="A15" s="59">
        <v>0.52083333333333337</v>
      </c>
      <c r="B15" s="282" t="s">
        <v>75</v>
      </c>
      <c r="C15" s="61">
        <v>9</v>
      </c>
      <c r="D15" s="61" t="s">
        <v>10</v>
      </c>
      <c r="E15" s="137" t="s">
        <v>4</v>
      </c>
      <c r="F15" s="63" t="s">
        <v>72</v>
      </c>
      <c r="G15" s="130" t="s">
        <v>120</v>
      </c>
      <c r="H15" s="32" t="s">
        <v>10</v>
      </c>
      <c r="I15" s="17" t="s">
        <v>10</v>
      </c>
      <c r="J15" s="18" t="s">
        <v>10</v>
      </c>
      <c r="K15" s="33" t="s">
        <v>10</v>
      </c>
      <c r="L15" s="17" t="s">
        <v>10</v>
      </c>
      <c r="M15" s="18" t="s">
        <v>10</v>
      </c>
      <c r="N15" s="102"/>
      <c r="O15" s="17"/>
      <c r="P15" s="18"/>
      <c r="Q15" s="108" t="s">
        <v>10</v>
      </c>
      <c r="R15" s="109" t="s">
        <v>10</v>
      </c>
      <c r="S15" s="110"/>
      <c r="T15" s="13" t="s">
        <v>10</v>
      </c>
      <c r="U15" s="274" t="s">
        <v>10</v>
      </c>
      <c r="V15" s="190" t="s">
        <v>10</v>
      </c>
      <c r="W15" s="275" t="s">
        <v>10</v>
      </c>
      <c r="X15" s="275" t="s">
        <v>10</v>
      </c>
      <c r="AA15" s="16" t="s">
        <v>10</v>
      </c>
    </row>
    <row r="16" spans="1:27" ht="20.100000000000001" customHeight="1" x14ac:dyDescent="0.25">
      <c r="A16" s="51">
        <v>4.1666666666666664E-2</v>
      </c>
      <c r="B16" s="280" t="s">
        <v>69</v>
      </c>
      <c r="C16" s="284">
        <v>45</v>
      </c>
      <c r="D16" s="285">
        <f>C16-5</f>
        <v>40</v>
      </c>
      <c r="E16" s="134" t="s">
        <v>70</v>
      </c>
      <c r="F16" s="279">
        <f>(45-5)/45</f>
        <v>0.88888888888888884</v>
      </c>
      <c r="G16" s="127" t="s">
        <v>96</v>
      </c>
      <c r="H16" s="32"/>
      <c r="I16" s="19"/>
      <c r="J16" s="20"/>
      <c r="K16" s="33" t="s">
        <v>10</v>
      </c>
      <c r="L16" s="19" t="s">
        <v>10</v>
      </c>
      <c r="M16" s="20" t="s">
        <v>10</v>
      </c>
      <c r="N16" s="102" t="s">
        <v>10</v>
      </c>
      <c r="O16" s="19" t="s">
        <v>10</v>
      </c>
      <c r="P16" s="20" t="s">
        <v>10</v>
      </c>
      <c r="Q16" s="108"/>
      <c r="R16" s="109" t="s">
        <v>10</v>
      </c>
      <c r="S16" s="110" t="s">
        <v>10</v>
      </c>
      <c r="T16" s="31">
        <f>A16+TIME(2,0,0)</f>
        <v>0.125</v>
      </c>
      <c r="U16" s="111">
        <v>0</v>
      </c>
      <c r="V16" s="112">
        <v>0</v>
      </c>
      <c r="W16" s="113">
        <v>2</v>
      </c>
      <c r="X16" s="113">
        <v>0</v>
      </c>
      <c r="AA16" s="69" t="s">
        <v>124</v>
      </c>
    </row>
    <row r="17" spans="1:27" ht="30" customHeight="1" x14ac:dyDescent="0.25">
      <c r="A17" s="59">
        <v>6.25E-2</v>
      </c>
      <c r="B17" s="282" t="s">
        <v>76</v>
      </c>
      <c r="C17" s="61">
        <v>50</v>
      </c>
      <c r="D17" s="61" t="s">
        <v>10</v>
      </c>
      <c r="E17" s="137" t="s">
        <v>4</v>
      </c>
      <c r="F17" s="63" t="s">
        <v>72</v>
      </c>
      <c r="G17" s="130" t="s">
        <v>121</v>
      </c>
      <c r="H17" s="32" t="s">
        <v>10</v>
      </c>
      <c r="I17" s="17" t="s">
        <v>10</v>
      </c>
      <c r="J17" s="18" t="s">
        <v>10</v>
      </c>
      <c r="K17" s="33" t="s">
        <v>10</v>
      </c>
      <c r="L17" s="17" t="s">
        <v>10</v>
      </c>
      <c r="M17" s="18" t="s">
        <v>10</v>
      </c>
      <c r="N17" s="102"/>
      <c r="O17" s="17"/>
      <c r="P17" s="18"/>
      <c r="Q17" s="108" t="s">
        <v>10</v>
      </c>
      <c r="R17" s="109" t="s">
        <v>10</v>
      </c>
      <c r="S17" s="110"/>
      <c r="T17" s="13" t="s">
        <v>10</v>
      </c>
      <c r="U17" s="274" t="s">
        <v>10</v>
      </c>
      <c r="V17" s="190" t="s">
        <v>10</v>
      </c>
      <c r="W17" s="275" t="s">
        <v>10</v>
      </c>
      <c r="X17" s="275" t="s">
        <v>10</v>
      </c>
      <c r="AA17" s="16" t="s">
        <v>10</v>
      </c>
    </row>
    <row r="18" spans="1:27" ht="20.100000000000001" customHeight="1" x14ac:dyDescent="0.25">
      <c r="A18" s="51">
        <v>8.3333333333333329E-2</v>
      </c>
      <c r="B18" s="280" t="s">
        <v>69</v>
      </c>
      <c r="C18" s="284">
        <v>45</v>
      </c>
      <c r="D18" s="287">
        <f>45-30</f>
        <v>15</v>
      </c>
      <c r="E18" s="134" t="s">
        <v>70</v>
      </c>
      <c r="F18" s="279">
        <f>(45-30)/45</f>
        <v>0.33333333333333331</v>
      </c>
      <c r="G18" s="127" t="s">
        <v>93</v>
      </c>
      <c r="H18" s="32"/>
      <c r="I18" s="19"/>
      <c r="J18" s="20"/>
      <c r="K18" s="33" t="s">
        <v>10</v>
      </c>
      <c r="L18" s="19" t="s">
        <v>10</v>
      </c>
      <c r="M18" s="20" t="s">
        <v>10</v>
      </c>
      <c r="N18" s="102" t="s">
        <v>10</v>
      </c>
      <c r="O18" s="19" t="s">
        <v>10</v>
      </c>
      <c r="P18" s="20" t="s">
        <v>10</v>
      </c>
      <c r="Q18" s="108"/>
      <c r="R18" s="109" t="s">
        <v>10</v>
      </c>
      <c r="S18" s="110" t="s">
        <v>10</v>
      </c>
      <c r="T18" s="31">
        <f t="shared" ref="T18:T38" si="0">A18+TIME(2,0,0)</f>
        <v>0.16666666666666666</v>
      </c>
      <c r="U18" s="111">
        <v>0</v>
      </c>
      <c r="V18" s="112">
        <v>4</v>
      </c>
      <c r="W18" s="113">
        <v>5</v>
      </c>
      <c r="X18" s="113">
        <v>0</v>
      </c>
      <c r="AA18" s="69" t="s">
        <v>106</v>
      </c>
    </row>
    <row r="19" spans="1:27" ht="20.100000000000001" customHeight="1" x14ac:dyDescent="0.25">
      <c r="A19" s="51">
        <v>0.10416666666666667</v>
      </c>
      <c r="B19" s="280" t="s">
        <v>69</v>
      </c>
      <c r="C19" s="284">
        <v>45</v>
      </c>
      <c r="D19" s="287">
        <f>45-36</f>
        <v>9</v>
      </c>
      <c r="E19" s="134" t="s">
        <v>70</v>
      </c>
      <c r="F19" s="279">
        <f>(45-36)/45</f>
        <v>0.2</v>
      </c>
      <c r="G19" s="127" t="s">
        <v>99</v>
      </c>
      <c r="H19" s="32"/>
      <c r="I19" s="19"/>
      <c r="J19" s="20"/>
      <c r="K19" s="33" t="s">
        <v>10</v>
      </c>
      <c r="L19" s="19" t="s">
        <v>10</v>
      </c>
      <c r="M19" s="20" t="s">
        <v>10</v>
      </c>
      <c r="N19" s="102" t="s">
        <v>10</v>
      </c>
      <c r="O19" s="19" t="s">
        <v>10</v>
      </c>
      <c r="P19" s="20" t="s">
        <v>10</v>
      </c>
      <c r="Q19" s="108"/>
      <c r="R19" s="109" t="s">
        <v>10</v>
      </c>
      <c r="S19" s="110" t="s">
        <v>10</v>
      </c>
      <c r="T19" s="31">
        <f t="shared" si="0"/>
        <v>0.1875</v>
      </c>
      <c r="U19" s="111">
        <v>0</v>
      </c>
      <c r="V19" s="112">
        <v>3</v>
      </c>
      <c r="W19" s="113">
        <v>3</v>
      </c>
      <c r="X19" s="113">
        <v>1</v>
      </c>
      <c r="AA19" s="69" t="s">
        <v>128</v>
      </c>
    </row>
    <row r="20" spans="1:27" ht="20.100000000000001" customHeight="1" x14ac:dyDescent="0.25">
      <c r="A20" s="51">
        <v>0.125</v>
      </c>
      <c r="B20" s="280" t="s">
        <v>69</v>
      </c>
      <c r="C20" s="284">
        <v>45</v>
      </c>
      <c r="D20" s="286">
        <f>45-18</f>
        <v>27</v>
      </c>
      <c r="E20" s="134" t="s">
        <v>70</v>
      </c>
      <c r="F20" s="279">
        <f>(45-18)/45</f>
        <v>0.6</v>
      </c>
      <c r="G20" s="127" t="s">
        <v>119</v>
      </c>
      <c r="H20" s="32"/>
      <c r="I20" s="19"/>
      <c r="J20" s="20"/>
      <c r="K20" s="33" t="s">
        <v>10</v>
      </c>
      <c r="L20" s="19" t="s">
        <v>10</v>
      </c>
      <c r="M20" s="20" t="s">
        <v>10</v>
      </c>
      <c r="N20" s="102" t="s">
        <v>10</v>
      </c>
      <c r="O20" s="19" t="s">
        <v>10</v>
      </c>
      <c r="P20" s="20" t="s">
        <v>10</v>
      </c>
      <c r="Q20" s="108"/>
      <c r="R20" s="109" t="s">
        <v>10</v>
      </c>
      <c r="S20" s="110" t="s">
        <v>10</v>
      </c>
      <c r="T20" s="31">
        <f t="shared" si="0"/>
        <v>0.20833333333333331</v>
      </c>
      <c r="U20" s="111">
        <v>0</v>
      </c>
      <c r="V20" s="112">
        <v>1</v>
      </c>
      <c r="W20" s="113">
        <v>2</v>
      </c>
      <c r="X20" s="113">
        <v>3</v>
      </c>
      <c r="AA20" s="69" t="s">
        <v>127</v>
      </c>
    </row>
    <row r="21" spans="1:27" ht="20.100000000000001" customHeight="1" x14ac:dyDescent="0.25">
      <c r="A21" s="51">
        <v>0.16666666666666666</v>
      </c>
      <c r="B21" s="280" t="s">
        <v>69</v>
      </c>
      <c r="C21" s="284">
        <v>45</v>
      </c>
      <c r="D21" s="287">
        <f>45-30</f>
        <v>15</v>
      </c>
      <c r="E21" s="134" t="s">
        <v>70</v>
      </c>
      <c r="F21" s="279">
        <f>(45-30)/45</f>
        <v>0.33333333333333331</v>
      </c>
      <c r="G21" s="127" t="s">
        <v>91</v>
      </c>
      <c r="H21" s="32"/>
      <c r="I21" s="19"/>
      <c r="J21" s="20"/>
      <c r="K21" s="33" t="s">
        <v>10</v>
      </c>
      <c r="L21" s="19" t="s">
        <v>10</v>
      </c>
      <c r="M21" s="20" t="s">
        <v>10</v>
      </c>
      <c r="N21" s="102" t="s">
        <v>10</v>
      </c>
      <c r="O21" s="19" t="s">
        <v>10</v>
      </c>
      <c r="P21" s="20" t="s">
        <v>10</v>
      </c>
      <c r="Q21" s="108"/>
      <c r="R21" s="109" t="s">
        <v>10</v>
      </c>
      <c r="S21" s="110" t="s">
        <v>10</v>
      </c>
      <c r="T21" s="31">
        <f t="shared" si="0"/>
        <v>0.25</v>
      </c>
      <c r="U21" s="111">
        <v>0</v>
      </c>
      <c r="V21" s="112">
        <v>3</v>
      </c>
      <c r="W21" s="113">
        <v>5</v>
      </c>
      <c r="X21" s="113">
        <v>0</v>
      </c>
      <c r="AA21" s="69" t="s">
        <v>129</v>
      </c>
    </row>
    <row r="22" spans="1:27" ht="20.100000000000001" customHeight="1" x14ac:dyDescent="0.25">
      <c r="A22" s="51">
        <v>0.1875</v>
      </c>
      <c r="B22" s="280" t="s">
        <v>69</v>
      </c>
      <c r="C22" s="284">
        <v>45</v>
      </c>
      <c r="D22" s="287">
        <f>45-41</f>
        <v>4</v>
      </c>
      <c r="E22" s="134" t="s">
        <v>70</v>
      </c>
      <c r="F22" s="279">
        <f>(45-41)/45</f>
        <v>8.8888888888888892E-2</v>
      </c>
      <c r="G22" s="127" t="s">
        <v>99</v>
      </c>
      <c r="H22" s="32"/>
      <c r="I22" s="19"/>
      <c r="J22" s="20"/>
      <c r="K22" s="33" t="s">
        <v>10</v>
      </c>
      <c r="L22" s="19" t="s">
        <v>10</v>
      </c>
      <c r="M22" s="20" t="s">
        <v>10</v>
      </c>
      <c r="N22" s="102" t="s">
        <v>10</v>
      </c>
      <c r="O22" s="19" t="s">
        <v>10</v>
      </c>
      <c r="P22" s="20" t="s">
        <v>10</v>
      </c>
      <c r="Q22" s="108"/>
      <c r="R22" s="109" t="s">
        <v>10</v>
      </c>
      <c r="S22" s="110" t="s">
        <v>10</v>
      </c>
      <c r="T22" s="31">
        <f t="shared" si="0"/>
        <v>0.27083333333333331</v>
      </c>
      <c r="U22" s="111">
        <v>0</v>
      </c>
      <c r="V22" s="112">
        <v>3</v>
      </c>
      <c r="W22" s="113">
        <v>3</v>
      </c>
      <c r="X22" s="113">
        <v>0</v>
      </c>
      <c r="AA22" s="69" t="s">
        <v>113</v>
      </c>
    </row>
    <row r="23" spans="1:27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0"/>
        <v>8.3333333333333329E-2</v>
      </c>
      <c r="U23" s="66"/>
      <c r="V23" s="67"/>
      <c r="W23" s="68"/>
      <c r="X23" s="68"/>
      <c r="AA23" s="69"/>
    </row>
    <row r="24" spans="1:27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0"/>
        <v>8.3333333333333329E-2</v>
      </c>
      <c r="U24" s="66"/>
      <c r="V24" s="67"/>
      <c r="W24" s="68"/>
      <c r="X24" s="68"/>
      <c r="AA24" s="69"/>
    </row>
    <row r="25" spans="1:27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0"/>
        <v>8.3333333333333329E-2</v>
      </c>
      <c r="U25" s="66"/>
      <c r="V25" s="67"/>
      <c r="W25" s="68"/>
      <c r="X25" s="68"/>
      <c r="AA25" s="69"/>
    </row>
    <row r="26" spans="1:27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0"/>
        <v>8.3333333333333329E-2</v>
      </c>
      <c r="U26" s="66"/>
      <c r="V26" s="67"/>
      <c r="W26" s="68"/>
      <c r="X26" s="68"/>
      <c r="AA26" s="69"/>
    </row>
    <row r="27" spans="1:27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0"/>
        <v>8.3333333333333329E-2</v>
      </c>
      <c r="U27" s="66"/>
      <c r="V27" s="67"/>
      <c r="W27" s="68"/>
      <c r="X27" s="68"/>
      <c r="AA27" s="69"/>
    </row>
    <row r="28" spans="1:27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0"/>
        <v>8.3333333333333329E-2</v>
      </c>
      <c r="U28" s="66"/>
      <c r="V28" s="67"/>
      <c r="W28" s="68"/>
      <c r="X28" s="68"/>
      <c r="AA28" s="69"/>
    </row>
    <row r="29" spans="1:27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0"/>
        <v>8.3333333333333329E-2</v>
      </c>
      <c r="U29" s="66"/>
      <c r="V29" s="67"/>
      <c r="W29" s="68"/>
      <c r="X29" s="68"/>
      <c r="AA29" s="69"/>
    </row>
    <row r="30" spans="1:27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0"/>
        <v>8.3333333333333329E-2</v>
      </c>
      <c r="U30" s="66"/>
      <c r="V30" s="67"/>
      <c r="W30" s="68"/>
      <c r="X30" s="68"/>
      <c r="AA30" s="69"/>
    </row>
    <row r="31" spans="1:27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0"/>
        <v>8.3333333333333329E-2</v>
      </c>
      <c r="U31" s="66"/>
      <c r="V31" s="67"/>
      <c r="W31" s="68"/>
      <c r="X31" s="68"/>
      <c r="AA31" s="69"/>
    </row>
    <row r="32" spans="1:27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0"/>
        <v>8.3333333333333329E-2</v>
      </c>
      <c r="U32" s="66"/>
      <c r="V32" s="67"/>
      <c r="W32" s="68"/>
      <c r="X32" s="68"/>
      <c r="AA32" s="69"/>
    </row>
    <row r="33" spans="1:27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0"/>
        <v>8.3333333333333329E-2</v>
      </c>
      <c r="U33" s="66"/>
      <c r="V33" s="67"/>
      <c r="W33" s="68"/>
      <c r="X33" s="68"/>
      <c r="AA33" s="69"/>
    </row>
    <row r="34" spans="1:27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0"/>
        <v>8.3333333333333329E-2</v>
      </c>
      <c r="U34" s="66"/>
      <c r="V34" s="67"/>
      <c r="W34" s="68"/>
      <c r="X34" s="68"/>
      <c r="AA34" s="69"/>
    </row>
    <row r="35" spans="1:27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0"/>
        <v>8.3333333333333329E-2</v>
      </c>
      <c r="U35" s="66"/>
      <c r="V35" s="67"/>
      <c r="W35" s="68"/>
      <c r="X35" s="68"/>
      <c r="AA35" s="69"/>
    </row>
    <row r="36" spans="1:27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0"/>
        <v>8.3333333333333329E-2</v>
      </c>
      <c r="U36" s="66"/>
      <c r="V36" s="67"/>
      <c r="W36" s="68"/>
      <c r="X36" s="68"/>
      <c r="AA36" s="69"/>
    </row>
    <row r="37" spans="1:27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0"/>
        <v>8.3333333333333329E-2</v>
      </c>
      <c r="U37" s="66"/>
      <c r="V37" s="67"/>
      <c r="W37" s="68"/>
      <c r="X37" s="68"/>
      <c r="AA37" s="69"/>
    </row>
    <row r="38" spans="1:27" ht="20.100000000000001" hidden="1" customHeight="1" x14ac:dyDescent="0.25">
      <c r="A38" s="51"/>
      <c r="B38" s="121"/>
      <c r="C38" s="58"/>
      <c r="D38" s="58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0"/>
        <v>8.3333333333333329E-2</v>
      </c>
      <c r="U38" s="66"/>
      <c r="V38" s="67"/>
      <c r="W38" s="68"/>
      <c r="X38" s="68"/>
      <c r="AA38" s="69"/>
    </row>
    <row r="39" spans="1:27" ht="19.5" hidden="1" customHeight="1" x14ac:dyDescent="0.25">
      <c r="A39" s="70">
        <v>0.41666666666666669</v>
      </c>
      <c r="B39" s="122" t="s">
        <v>25</v>
      </c>
      <c r="C39" s="72">
        <v>25</v>
      </c>
      <c r="D39" s="72">
        <v>25</v>
      </c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AA39" s="82" t="s">
        <v>10</v>
      </c>
    </row>
    <row r="40" spans="1:27" ht="19.5" hidden="1" customHeight="1" x14ac:dyDescent="0.25">
      <c r="A40" s="70">
        <v>0.41666666666666669</v>
      </c>
      <c r="B40" s="122" t="s">
        <v>25</v>
      </c>
      <c r="C40" s="72">
        <v>24</v>
      </c>
      <c r="D40" s="72">
        <v>24</v>
      </c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AA40" s="82" t="s">
        <v>10</v>
      </c>
    </row>
    <row r="41" spans="1:27" ht="19.5" hidden="1" customHeight="1" x14ac:dyDescent="0.25">
      <c r="A41" s="70">
        <v>0.41666666666666669</v>
      </c>
      <c r="B41" s="122" t="s">
        <v>25</v>
      </c>
      <c r="C41" s="72">
        <v>24</v>
      </c>
      <c r="D41" s="72">
        <v>24</v>
      </c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AA41" s="82" t="s">
        <v>10</v>
      </c>
    </row>
    <row r="42" spans="1:27" ht="19.5" hidden="1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AA42" s="82" t="s">
        <v>10</v>
      </c>
    </row>
    <row r="43" spans="1:27" ht="19.5" hidden="1" customHeight="1" x14ac:dyDescent="0.25">
      <c r="A43" s="70">
        <v>0.5</v>
      </c>
      <c r="B43" s="122" t="s">
        <v>32</v>
      </c>
      <c r="C43" s="72">
        <v>36</v>
      </c>
      <c r="D43" s="72">
        <v>36</v>
      </c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AA43" s="82" t="s">
        <v>10</v>
      </c>
    </row>
    <row r="44" spans="1:27" ht="19.5" hidden="1" customHeight="1" x14ac:dyDescent="0.25">
      <c r="A44" s="70">
        <v>0.5</v>
      </c>
      <c r="B44" s="122" t="s">
        <v>32</v>
      </c>
      <c r="C44" s="72">
        <v>36</v>
      </c>
      <c r="D44" s="72">
        <v>36</v>
      </c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AA44" s="82" t="s">
        <v>10</v>
      </c>
    </row>
    <row r="45" spans="1:27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AA45" s="96" t="s">
        <v>10</v>
      </c>
    </row>
    <row r="46" spans="1:27" ht="30" hidden="1" customHeight="1" x14ac:dyDescent="0.25">
      <c r="A46" s="59"/>
      <c r="B46" s="123"/>
      <c r="C46" s="61"/>
      <c r="D46" s="61"/>
      <c r="E46" s="137"/>
      <c r="F46" s="63"/>
      <c r="G46" s="130"/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AA46" s="16" t="s">
        <v>10</v>
      </c>
    </row>
    <row r="47" spans="1:27" ht="5.25" customHeight="1" thickBot="1" x14ac:dyDescent="0.3">
      <c r="A47" s="2"/>
      <c r="B47" s="120"/>
      <c r="C47" s="55"/>
      <c r="D47" s="55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AA47" s="5"/>
    </row>
    <row r="48" spans="1:27" ht="15.75" thickBot="1" x14ac:dyDescent="0.3">
      <c r="B48" s="124"/>
      <c r="C48"/>
      <c r="D48"/>
      <c r="F48" s="22"/>
      <c r="G48" s="131"/>
      <c r="H48" s="420" t="str">
        <f>H2</f>
        <v># Shot</v>
      </c>
      <c r="K48" s="439" t="str">
        <f>K2</f>
        <v># Shot</v>
      </c>
      <c r="N48" s="423" t="str">
        <f>N2</f>
        <v># Shot</v>
      </c>
      <c r="Q48" s="426" t="s">
        <v>9</v>
      </c>
      <c r="R48" s="427"/>
      <c r="S48" s="428"/>
      <c r="U48" s="429" t="str">
        <f>U2</f>
        <v>Bypass</v>
      </c>
      <c r="V48" s="432" t="str">
        <f>V2</f>
        <v>No Show</v>
      </c>
      <c r="W48" s="444" t="str">
        <f>W2</f>
        <v>Decline</v>
      </c>
      <c r="X48" s="444" t="str">
        <f>X2</f>
        <v>Xtra Sheets</v>
      </c>
      <c r="AA48" s="418" t="str">
        <f>AA2</f>
        <v># Sales 
(if known)</v>
      </c>
    </row>
    <row r="49" spans="2:29" x14ac:dyDescent="0.25">
      <c r="G49" s="131"/>
      <c r="H49" s="421"/>
      <c r="K49" s="440"/>
      <c r="N49" s="424"/>
      <c r="Q49" s="459" t="str">
        <f>Q3</f>
        <v>Green 
Screen</v>
      </c>
      <c r="R49" s="442" t="str">
        <f>R3</f>
        <v>Star</v>
      </c>
      <c r="S49" s="461" t="str">
        <f>S3</f>
        <v>Private</v>
      </c>
      <c r="U49" s="430"/>
      <c r="V49" s="433"/>
      <c r="W49" s="445"/>
      <c r="X49" s="445"/>
      <c r="AA49" s="457"/>
    </row>
    <row r="50" spans="2:29" ht="15.75" thickBot="1" x14ac:dyDescent="0.3">
      <c r="G50" s="131"/>
      <c r="H50" s="422"/>
      <c r="K50" s="441"/>
      <c r="N50" s="425"/>
      <c r="Q50" s="460"/>
      <c r="R50" s="443"/>
      <c r="S50" s="462"/>
      <c r="U50" s="431"/>
      <c r="V50" s="434"/>
      <c r="W50" s="446"/>
      <c r="X50" s="446"/>
      <c r="AA50" s="458"/>
    </row>
    <row r="51" spans="2:29" ht="37.5" customHeight="1" thickBot="1" x14ac:dyDescent="0.3"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26"/>
      <c r="AA51" s="25"/>
    </row>
    <row r="52" spans="2:29" ht="4.5" customHeight="1" x14ac:dyDescent="0.25">
      <c r="B52"/>
      <c r="E52" s="54"/>
      <c r="G52"/>
      <c r="AC52" s="54"/>
    </row>
    <row r="53" spans="2:29" ht="4.5" customHeight="1" thickBot="1" x14ac:dyDescent="0.3">
      <c r="B53"/>
      <c r="E53" s="54"/>
      <c r="G53"/>
      <c r="AC53" s="54"/>
    </row>
    <row r="54" spans="2:29" ht="27.75" customHeight="1" thickBot="1" x14ac:dyDescent="0.3">
      <c r="B54"/>
      <c r="E54" s="139"/>
      <c r="F54" s="140" t="s">
        <v>40</v>
      </c>
      <c r="G54"/>
      <c r="H54" s="141"/>
      <c r="I54" s="454" t="s">
        <v>41</v>
      </c>
      <c r="J54" s="455"/>
      <c r="P54" s="141"/>
      <c r="Q54" s="454" t="s">
        <v>42</v>
      </c>
      <c r="R54" s="456"/>
      <c r="S54" s="455"/>
      <c r="U54" s="142"/>
      <c r="V54" s="454" t="s">
        <v>43</v>
      </c>
      <c r="W54" s="456"/>
      <c r="X54" s="455"/>
      <c r="AC54" s="54"/>
    </row>
    <row r="55" spans="2:29" ht="27.75" customHeight="1" x14ac:dyDescent="0.25"/>
    <row r="56" spans="2:29" ht="27.75" customHeight="1" x14ac:dyDescent="0.25"/>
    <row r="60" spans="2:29" ht="6" customHeight="1" x14ac:dyDescent="0.25"/>
  </sheetData>
  <mergeCells count="29">
    <mergeCell ref="I54:J54"/>
    <mergeCell ref="V54:X54"/>
    <mergeCell ref="X48:X50"/>
    <mergeCell ref="AA48:AA50"/>
    <mergeCell ref="Q49:Q50"/>
    <mergeCell ref="S49:S50"/>
    <mergeCell ref="Q54:S54"/>
    <mergeCell ref="X2:X3"/>
    <mergeCell ref="AA2:AA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A1:G2"/>
    <mergeCell ref="H1:P1"/>
    <mergeCell ref="H2:H3"/>
    <mergeCell ref="I2:J2"/>
    <mergeCell ref="N2:N3"/>
    <mergeCell ref="O2:P2"/>
  </mergeCells>
  <conditionalFormatting sqref="F7:F10">
    <cfRule type="cellIs" dxfId="31" priority="17" stopIfTrue="1" operator="greaterThan">
      <formula>0.75</formula>
    </cfRule>
    <cfRule type="cellIs" dxfId="30" priority="18" stopIfTrue="1" operator="greaterThan">
      <formula>0.4</formula>
    </cfRule>
    <cfRule type="cellIs" dxfId="29" priority="19" operator="lessThan">
      <formula>0.4</formula>
    </cfRule>
  </conditionalFormatting>
  <conditionalFormatting sqref="F12:F14">
    <cfRule type="cellIs" dxfId="28" priority="53" stopIfTrue="1" operator="greaterThan">
      <formula>0.75</formula>
    </cfRule>
    <cfRule type="cellIs" dxfId="27" priority="54" stopIfTrue="1" operator="greaterThan">
      <formula>0.4</formula>
    </cfRule>
    <cfRule type="cellIs" dxfId="26" priority="55" operator="lessThan">
      <formula>0.4</formula>
    </cfRule>
  </conditionalFormatting>
  <conditionalFormatting sqref="F16">
    <cfRule type="cellIs" dxfId="25" priority="50" stopIfTrue="1" operator="greaterThan">
      <formula>0.75</formula>
    </cfRule>
    <cfRule type="cellIs" dxfId="24" priority="51" stopIfTrue="1" operator="greaterThan">
      <formula>0.4</formula>
    </cfRule>
    <cfRule type="cellIs" dxfId="23" priority="52" operator="lessThan">
      <formula>0.4</formula>
    </cfRule>
  </conditionalFormatting>
  <conditionalFormatting sqref="F18:F22">
    <cfRule type="cellIs" dxfId="22" priority="5" stopIfTrue="1" operator="greaterThan">
      <formula>0.75</formula>
    </cfRule>
    <cfRule type="cellIs" dxfId="21" priority="6" stopIfTrue="1" operator="greaterThan">
      <formula>0.4</formula>
    </cfRule>
    <cfRule type="cellIs" dxfId="20" priority="7" operator="lessThan">
      <formula>0.4</formula>
    </cfRule>
  </conditionalFormatting>
  <printOptions horizontalCentered="1"/>
  <pageMargins left="0.25" right="0.25" top="0.28999999999999998" bottom="0.21" header="0.3" footer="0.2"/>
  <pageSetup scale="62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AC60"/>
  <sheetViews>
    <sheetView workbookViewId="0">
      <selection activeCell="AC5" sqref="AC5:AC22"/>
    </sheetView>
  </sheetViews>
  <sheetFormatPr defaultRowHeight="15" x14ac:dyDescent="0.25"/>
  <cols>
    <col min="1" max="1" width="5.7109375" bestFit="1" customWidth="1"/>
    <col min="2" max="2" width="15.5703125" customWidth="1"/>
    <col min="3" max="4" width="4.85546875" style="54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4" bestFit="1" customWidth="1"/>
    <col min="29" max="29" width="39.7109375" style="54" customWidth="1"/>
  </cols>
  <sheetData>
    <row r="1" spans="1:29" ht="16.5" thickBot="1" x14ac:dyDescent="0.3">
      <c r="A1" s="401" t="str">
        <f>'03.16 (v2)'!A1</f>
        <v>Saturday, March 16th</v>
      </c>
      <c r="B1" s="401"/>
      <c r="C1" s="401"/>
      <c r="D1" s="401"/>
      <c r="E1" s="401"/>
      <c r="F1" s="401"/>
      <c r="G1" s="402"/>
      <c r="H1" s="405" t="s">
        <v>19</v>
      </c>
      <c r="I1" s="406"/>
      <c r="J1" s="406"/>
      <c r="K1" s="406"/>
      <c r="L1" s="406"/>
      <c r="M1" s="406"/>
      <c r="N1" s="406"/>
      <c r="O1" s="406"/>
      <c r="P1" s="407"/>
      <c r="AC1"/>
    </row>
    <row r="2" spans="1:29" ht="24.75" customHeight="1" thickBot="1" x14ac:dyDescent="0.3">
      <c r="A2" s="403"/>
      <c r="B2" s="403"/>
      <c r="C2" s="403"/>
      <c r="D2" s="403"/>
      <c r="E2" s="403"/>
      <c r="F2" s="403"/>
      <c r="G2" s="404"/>
      <c r="H2" s="408" t="s">
        <v>8</v>
      </c>
      <c r="I2" s="410" t="s">
        <v>21</v>
      </c>
      <c r="J2" s="411"/>
      <c r="K2" s="435" t="s">
        <v>8</v>
      </c>
      <c r="L2" s="437" t="s">
        <v>20</v>
      </c>
      <c r="M2" s="438"/>
      <c r="N2" s="412" t="s">
        <v>8</v>
      </c>
      <c r="O2" s="414" t="s">
        <v>4</v>
      </c>
      <c r="P2" s="415"/>
      <c r="Q2" s="447" t="s">
        <v>9</v>
      </c>
      <c r="R2" s="448"/>
      <c r="S2" s="449"/>
      <c r="T2" s="42"/>
      <c r="U2" s="450" t="s">
        <v>5</v>
      </c>
      <c r="V2" s="452" t="s">
        <v>6</v>
      </c>
      <c r="W2" s="416" t="s">
        <v>7</v>
      </c>
      <c r="X2" s="416" t="s">
        <v>24</v>
      </c>
      <c r="Y2" s="450" t="s">
        <v>126</v>
      </c>
      <c r="Z2" s="416" t="s">
        <v>11</v>
      </c>
      <c r="AA2" s="418" t="s">
        <v>23</v>
      </c>
      <c r="AB2" s="463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45"/>
      <c r="E3" s="46" t="s">
        <v>1</v>
      </c>
      <c r="F3" s="47" t="s">
        <v>18</v>
      </c>
      <c r="G3" s="48" t="s">
        <v>15</v>
      </c>
      <c r="H3" s="409"/>
      <c r="I3" s="34" t="s">
        <v>13</v>
      </c>
      <c r="J3" s="35" t="s">
        <v>14</v>
      </c>
      <c r="K3" s="436"/>
      <c r="L3" s="36" t="s">
        <v>13</v>
      </c>
      <c r="M3" s="37" t="s">
        <v>14</v>
      </c>
      <c r="N3" s="413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451"/>
      <c r="V3" s="453"/>
      <c r="W3" s="417"/>
      <c r="X3" s="417"/>
      <c r="Y3" s="451"/>
      <c r="Z3" s="417"/>
      <c r="AA3" s="419"/>
      <c r="AB3" s="464"/>
      <c r="AC3" s="47" t="s">
        <v>44</v>
      </c>
    </row>
    <row r="4" spans="1:29" ht="5.25" customHeight="1" thickBot="1" x14ac:dyDescent="0.3">
      <c r="A4" s="2"/>
      <c r="B4" s="6"/>
      <c r="C4" s="55"/>
      <c r="D4" s="56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IF(ISBLANK(AA4),-90,(-((AA4)-SUM(AD4:AG4,AC4))))</f>
        <v>-90</v>
      </c>
      <c r="AC4" s="359"/>
    </row>
    <row r="5" spans="1:29" ht="27" x14ac:dyDescent="0.25">
      <c r="A5" s="59">
        <v>0.41666666666666669</v>
      </c>
      <c r="B5" s="282" t="s">
        <v>73</v>
      </c>
      <c r="C5" s="61">
        <v>50</v>
      </c>
      <c r="D5" s="61" t="s">
        <v>10</v>
      </c>
      <c r="E5" s="137" t="s">
        <v>4</v>
      </c>
      <c r="F5" s="63" t="s">
        <v>72</v>
      </c>
      <c r="G5" s="130" t="s">
        <v>80</v>
      </c>
      <c r="H5" s="103" t="s">
        <v>10</v>
      </c>
      <c r="I5" s="17" t="s">
        <v>10</v>
      </c>
      <c r="J5" s="18" t="s">
        <v>10</v>
      </c>
      <c r="K5" s="104" t="s">
        <v>10</v>
      </c>
      <c r="L5" s="277" t="s">
        <v>10</v>
      </c>
      <c r="M5" s="278" t="s">
        <v>10</v>
      </c>
      <c r="N5" s="105">
        <f t="shared" ref="N5" si="0">IF(ISBLANK(P5),0,(P5-O5+1))</f>
        <v>5</v>
      </c>
      <c r="O5" s="277">
        <v>4047</v>
      </c>
      <c r="P5" s="278">
        <v>4051</v>
      </c>
      <c r="Q5" s="108" t="s">
        <v>10</v>
      </c>
      <c r="R5" s="109" t="s">
        <v>10</v>
      </c>
      <c r="S5" s="110">
        <v>1</v>
      </c>
      <c r="T5" s="31" t="s">
        <v>10</v>
      </c>
      <c r="U5" s="288" t="s">
        <v>10</v>
      </c>
      <c r="V5" s="289" t="s">
        <v>10</v>
      </c>
      <c r="W5" s="290" t="s">
        <v>10</v>
      </c>
      <c r="X5" s="290" t="s">
        <v>10</v>
      </c>
      <c r="Y5" s="274" t="s">
        <v>10</v>
      </c>
      <c r="Z5" s="275" t="s">
        <v>10</v>
      </c>
      <c r="AA5" s="291" t="s">
        <v>10</v>
      </c>
      <c r="AB5" s="358" t="e">
        <f>IF(ISBLANK(J5),-90,(-((Q5)-SUM(U5:Z5,AA5))))</f>
        <v>#VALUE!</v>
      </c>
      <c r="AC5" s="361" t="s">
        <v>135</v>
      </c>
    </row>
    <row r="6" spans="1:29" ht="27" x14ac:dyDescent="0.25">
      <c r="A6" s="59">
        <v>0.41666666666666669</v>
      </c>
      <c r="B6" s="282" t="s">
        <v>74</v>
      </c>
      <c r="C6" s="61">
        <v>20</v>
      </c>
      <c r="D6" s="61" t="s">
        <v>10</v>
      </c>
      <c r="E6" s="137" t="s">
        <v>4</v>
      </c>
      <c r="F6" s="63" t="s">
        <v>72</v>
      </c>
      <c r="G6" s="130" t="s">
        <v>3</v>
      </c>
      <c r="H6" s="103" t="s">
        <v>10</v>
      </c>
      <c r="I6" s="17" t="s">
        <v>10</v>
      </c>
      <c r="J6" s="18" t="s">
        <v>10</v>
      </c>
      <c r="K6" s="104" t="s">
        <v>10</v>
      </c>
      <c r="L6" s="277" t="s">
        <v>10</v>
      </c>
      <c r="M6" s="278" t="s">
        <v>10</v>
      </c>
      <c r="N6" s="105">
        <f t="shared" ref="N6" si="1">IF(ISBLANK(P6),0,(P6-O6+1))</f>
        <v>4</v>
      </c>
      <c r="O6" s="277">
        <v>4052</v>
      </c>
      <c r="P6" s="278">
        <v>4055</v>
      </c>
      <c r="Q6" s="108" t="s">
        <v>10</v>
      </c>
      <c r="R6" s="109" t="s">
        <v>10</v>
      </c>
      <c r="S6" s="110">
        <v>1</v>
      </c>
      <c r="T6" s="31" t="s">
        <v>10</v>
      </c>
      <c r="U6" s="288" t="s">
        <v>10</v>
      </c>
      <c r="V6" s="289" t="s">
        <v>10</v>
      </c>
      <c r="W6" s="290" t="s">
        <v>10</v>
      </c>
      <c r="X6" s="290" t="s">
        <v>10</v>
      </c>
      <c r="Y6" s="274" t="s">
        <v>10</v>
      </c>
      <c r="Z6" s="275" t="s">
        <v>10</v>
      </c>
      <c r="AA6" s="291" t="s">
        <v>10</v>
      </c>
      <c r="AB6" s="358" t="e">
        <f t="shared" ref="AB6:AB46" si="2">IF(ISBLANK(J6),-90,(-((Q6)-SUM(U6:Z6,AA6))))</f>
        <v>#VALUE!</v>
      </c>
      <c r="AC6" s="362" t="s">
        <v>136</v>
      </c>
    </row>
    <row r="7" spans="1:29" ht="20.100000000000001" customHeight="1" x14ac:dyDescent="0.25">
      <c r="A7" s="51">
        <v>0.41666666666666669</v>
      </c>
      <c r="B7" s="280" t="s">
        <v>69</v>
      </c>
      <c r="C7" s="283">
        <v>45</v>
      </c>
      <c r="D7" s="285">
        <f>45-6</f>
        <v>39</v>
      </c>
      <c r="E7" s="134" t="s">
        <v>70</v>
      </c>
      <c r="F7" s="279">
        <f>(45-6)/45</f>
        <v>0.8666666666666667</v>
      </c>
      <c r="G7" s="127" t="s">
        <v>85</v>
      </c>
      <c r="H7" s="103">
        <f t="shared" ref="H7:H16" si="3">IF(ISBLANK(J7),0,(J7-I7+1))</f>
        <v>21</v>
      </c>
      <c r="I7" s="19">
        <v>3672</v>
      </c>
      <c r="J7" s="20">
        <v>3692</v>
      </c>
      <c r="K7" s="104" t="s">
        <v>10</v>
      </c>
      <c r="L7" s="106" t="s">
        <v>10</v>
      </c>
      <c r="M7" s="107" t="s">
        <v>10</v>
      </c>
      <c r="N7" s="105" t="s">
        <v>10</v>
      </c>
      <c r="O7" s="106" t="s">
        <v>10</v>
      </c>
      <c r="P7" s="107"/>
      <c r="Q7" s="108">
        <f>19+1</f>
        <v>20</v>
      </c>
      <c r="R7" s="109" t="s">
        <v>10</v>
      </c>
      <c r="S7" s="110" t="s">
        <v>10</v>
      </c>
      <c r="T7" s="31">
        <f t="shared" ref="T7:T16" si="4">A7+TIME(2,0,0)</f>
        <v>0.5</v>
      </c>
      <c r="U7" s="111">
        <v>0</v>
      </c>
      <c r="V7" s="112">
        <v>0</v>
      </c>
      <c r="W7" s="113">
        <v>8</v>
      </c>
      <c r="X7" s="113">
        <v>1</v>
      </c>
      <c r="Y7" s="111"/>
      <c r="Z7" s="113"/>
      <c r="AA7" s="114">
        <v>14</v>
      </c>
      <c r="AB7" s="358">
        <f>IF(ISBLANK(J7),-90,(-((Q7)-SUM(U7:Z7,AA7))))</f>
        <v>3</v>
      </c>
      <c r="AC7" s="363" t="s">
        <v>139</v>
      </c>
    </row>
    <row r="8" spans="1:29" ht="18" x14ac:dyDescent="0.25">
      <c r="A8" s="51">
        <v>0.4375</v>
      </c>
      <c r="B8" s="280" t="s">
        <v>69</v>
      </c>
      <c r="C8" s="283">
        <v>45</v>
      </c>
      <c r="D8" s="285">
        <f>45-10</f>
        <v>35</v>
      </c>
      <c r="E8" s="134" t="s">
        <v>70</v>
      </c>
      <c r="F8" s="279">
        <f>(45-10)/45</f>
        <v>0.77777777777777779</v>
      </c>
      <c r="G8" s="127" t="s">
        <v>122</v>
      </c>
      <c r="H8" s="103">
        <f t="shared" si="3"/>
        <v>17</v>
      </c>
      <c r="I8" s="19">
        <v>3693</v>
      </c>
      <c r="J8" s="20">
        <v>3709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f>13+7</f>
        <v>20</v>
      </c>
      <c r="R8" s="109" t="s">
        <v>10</v>
      </c>
      <c r="S8" s="110" t="s">
        <v>10</v>
      </c>
      <c r="T8" s="31">
        <f t="shared" si="4"/>
        <v>0.52083333333333337</v>
      </c>
      <c r="U8" s="111">
        <v>0</v>
      </c>
      <c r="V8" s="112">
        <v>7</v>
      </c>
      <c r="W8" s="113">
        <v>0</v>
      </c>
      <c r="X8" s="113">
        <v>6</v>
      </c>
      <c r="Y8" s="111"/>
      <c r="Z8" s="113"/>
      <c r="AA8" s="114">
        <v>7</v>
      </c>
      <c r="AB8" s="358">
        <f t="shared" si="2"/>
        <v>0</v>
      </c>
      <c r="AC8" s="363" t="s">
        <v>131</v>
      </c>
    </row>
    <row r="9" spans="1:29" ht="20.100000000000001" customHeight="1" x14ac:dyDescent="0.25">
      <c r="A9" s="51">
        <v>0.44791666666666669</v>
      </c>
      <c r="B9" s="280" t="s">
        <v>69</v>
      </c>
      <c r="C9" s="283">
        <v>45</v>
      </c>
      <c r="D9" s="286">
        <f>45-16</f>
        <v>29</v>
      </c>
      <c r="E9" s="134" t="s">
        <v>70</v>
      </c>
      <c r="F9" s="279">
        <f>(45-16)/45</f>
        <v>0.64444444444444449</v>
      </c>
      <c r="G9" s="127" t="s">
        <v>88</v>
      </c>
      <c r="H9" s="103">
        <f t="shared" si="3"/>
        <v>15</v>
      </c>
      <c r="I9" s="19">
        <v>3710</v>
      </c>
      <c r="J9" s="20">
        <v>3724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f>13+2</f>
        <v>15</v>
      </c>
      <c r="R9" s="109" t="s">
        <v>10</v>
      </c>
      <c r="S9" s="110" t="s">
        <v>10</v>
      </c>
      <c r="T9" s="31">
        <f t="shared" si="4"/>
        <v>0.53125</v>
      </c>
      <c r="U9" s="111">
        <v>0</v>
      </c>
      <c r="V9" s="112">
        <v>0</v>
      </c>
      <c r="W9" s="113">
        <v>2</v>
      </c>
      <c r="X9" s="113">
        <v>0</v>
      </c>
      <c r="Y9" s="111"/>
      <c r="Z9" s="113"/>
      <c r="AA9" s="114">
        <v>13</v>
      </c>
      <c r="AB9" s="358">
        <f t="shared" si="2"/>
        <v>0</v>
      </c>
      <c r="AC9" s="364"/>
    </row>
    <row r="10" spans="1:29" ht="20.100000000000001" customHeight="1" x14ac:dyDescent="0.25">
      <c r="A10" s="51">
        <v>0.45833333333333331</v>
      </c>
      <c r="B10" s="280" t="s">
        <v>69</v>
      </c>
      <c r="C10" s="283">
        <v>45</v>
      </c>
      <c r="D10" s="285">
        <f>45-3</f>
        <v>42</v>
      </c>
      <c r="E10" s="134" t="s">
        <v>70</v>
      </c>
      <c r="F10" s="279">
        <f>(45-3)/45</f>
        <v>0.93333333333333335</v>
      </c>
      <c r="G10" s="127" t="s">
        <v>91</v>
      </c>
      <c r="H10" s="103">
        <f t="shared" si="3"/>
        <v>15</v>
      </c>
      <c r="I10" s="19">
        <v>3725</v>
      </c>
      <c r="J10" s="20">
        <v>3739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>
        <f>15+0</f>
        <v>15</v>
      </c>
      <c r="R10" s="109" t="s">
        <v>10</v>
      </c>
      <c r="S10" s="110" t="s">
        <v>10</v>
      </c>
      <c r="T10" s="31">
        <f t="shared" si="4"/>
        <v>0.54166666666666663</v>
      </c>
      <c r="U10" s="111">
        <v>0</v>
      </c>
      <c r="V10" s="112">
        <v>5</v>
      </c>
      <c r="W10" s="113">
        <v>3</v>
      </c>
      <c r="X10" s="113">
        <v>0</v>
      </c>
      <c r="Y10" s="111"/>
      <c r="Z10" s="113"/>
      <c r="AA10" s="114">
        <v>7</v>
      </c>
      <c r="AB10" s="358">
        <f t="shared" si="2"/>
        <v>0</v>
      </c>
      <c r="AC10" s="364"/>
    </row>
    <row r="11" spans="1:29" ht="27" x14ac:dyDescent="0.25">
      <c r="A11" s="59">
        <v>0.45833333333333331</v>
      </c>
      <c r="B11" s="282" t="s">
        <v>77</v>
      </c>
      <c r="C11" s="61">
        <v>20</v>
      </c>
      <c r="D11" s="61" t="s">
        <v>10</v>
      </c>
      <c r="E11" s="137" t="s">
        <v>4</v>
      </c>
      <c r="F11" s="63" t="s">
        <v>72</v>
      </c>
      <c r="G11" s="130" t="s">
        <v>92</v>
      </c>
      <c r="H11" s="103" t="s">
        <v>10</v>
      </c>
      <c r="I11" s="17" t="s">
        <v>10</v>
      </c>
      <c r="J11" s="18" t="s">
        <v>10</v>
      </c>
      <c r="K11" s="104" t="s">
        <v>10</v>
      </c>
      <c r="L11" s="277" t="s">
        <v>10</v>
      </c>
      <c r="M11" s="278" t="s">
        <v>10</v>
      </c>
      <c r="N11" s="105">
        <f t="shared" ref="N11" si="5">IF(ISBLANK(P11),0,(P11-O11+1))</f>
        <v>5</v>
      </c>
      <c r="O11" s="277">
        <v>4056</v>
      </c>
      <c r="P11" s="278">
        <v>4060</v>
      </c>
      <c r="Q11" s="108" t="s">
        <v>10</v>
      </c>
      <c r="R11" s="109" t="s">
        <v>10</v>
      </c>
      <c r="S11" s="110">
        <v>1</v>
      </c>
      <c r="T11" s="31" t="s">
        <v>10</v>
      </c>
      <c r="U11" s="288" t="s">
        <v>10</v>
      </c>
      <c r="V11" s="289" t="s">
        <v>10</v>
      </c>
      <c r="W11" s="290" t="s">
        <v>10</v>
      </c>
      <c r="X11" s="290" t="s">
        <v>10</v>
      </c>
      <c r="Y11" s="274" t="s">
        <v>10</v>
      </c>
      <c r="Z11" s="275" t="s">
        <v>10</v>
      </c>
      <c r="AA11" s="291" t="s">
        <v>10</v>
      </c>
      <c r="AB11" s="358" t="e">
        <f t="shared" si="2"/>
        <v>#VALUE!</v>
      </c>
      <c r="AC11" s="362" t="s">
        <v>140</v>
      </c>
    </row>
    <row r="12" spans="1:29" ht="20.100000000000001" customHeight="1" x14ac:dyDescent="0.25">
      <c r="A12" s="51">
        <v>0.47916666666666669</v>
      </c>
      <c r="B12" s="280" t="s">
        <v>69</v>
      </c>
      <c r="C12" s="284">
        <v>45</v>
      </c>
      <c r="D12" s="286">
        <f>45-24</f>
        <v>21</v>
      </c>
      <c r="E12" s="134" t="s">
        <v>70</v>
      </c>
      <c r="F12" s="279">
        <f>(45-24)/45</f>
        <v>0.46666666666666667</v>
      </c>
      <c r="G12" s="127" t="s">
        <v>93</v>
      </c>
      <c r="H12" s="103">
        <f t="shared" si="3"/>
        <v>18</v>
      </c>
      <c r="I12" s="19">
        <v>3740</v>
      </c>
      <c r="J12" s="20">
        <v>3757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f>15+3</f>
        <v>18</v>
      </c>
      <c r="R12" s="109" t="s">
        <v>10</v>
      </c>
      <c r="S12" s="110" t="s">
        <v>10</v>
      </c>
      <c r="T12" s="31">
        <f t="shared" si="4"/>
        <v>0.5625</v>
      </c>
      <c r="U12" s="111">
        <v>0</v>
      </c>
      <c r="V12" s="112">
        <v>7</v>
      </c>
      <c r="W12" s="113">
        <v>2</v>
      </c>
      <c r="X12" s="113">
        <v>3</v>
      </c>
      <c r="Y12" s="111"/>
      <c r="Z12" s="113"/>
      <c r="AA12" s="114">
        <v>6</v>
      </c>
      <c r="AB12" s="358">
        <f t="shared" si="2"/>
        <v>0</v>
      </c>
      <c r="AC12" s="364"/>
    </row>
    <row r="13" spans="1:29" ht="20.100000000000001" customHeight="1" x14ac:dyDescent="0.25">
      <c r="A13" s="51">
        <v>0.5</v>
      </c>
      <c r="B13" s="280" t="s">
        <v>69</v>
      </c>
      <c r="C13" s="284">
        <v>45</v>
      </c>
      <c r="D13" s="286">
        <f>45-14</f>
        <v>31</v>
      </c>
      <c r="E13" s="134" t="s">
        <v>70</v>
      </c>
      <c r="F13" s="281">
        <f>(45-14)/45</f>
        <v>0.68888888888888888</v>
      </c>
      <c r="G13" s="127" t="s">
        <v>85</v>
      </c>
      <c r="H13" s="103">
        <f t="shared" si="3"/>
        <v>13</v>
      </c>
      <c r="I13" s="19">
        <v>3758</v>
      </c>
      <c r="J13" s="20">
        <v>3770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f>11+2</f>
        <v>13</v>
      </c>
      <c r="R13" s="109" t="s">
        <v>10</v>
      </c>
      <c r="S13" s="110" t="s">
        <v>10</v>
      </c>
      <c r="T13" s="31">
        <f t="shared" si="4"/>
        <v>0.58333333333333337</v>
      </c>
      <c r="U13" s="111">
        <v>0</v>
      </c>
      <c r="V13" s="112">
        <v>0</v>
      </c>
      <c r="W13" s="113">
        <v>5</v>
      </c>
      <c r="X13" s="113">
        <v>1</v>
      </c>
      <c r="Y13" s="111"/>
      <c r="Z13" s="113"/>
      <c r="AA13" s="114">
        <v>16</v>
      </c>
      <c r="AB13" s="358">
        <f t="shared" si="2"/>
        <v>9</v>
      </c>
      <c r="AC13" s="363" t="s">
        <v>132</v>
      </c>
    </row>
    <row r="14" spans="1:29" ht="20.100000000000001" customHeight="1" x14ac:dyDescent="0.25">
      <c r="A14" s="51">
        <v>0.52083333333333337</v>
      </c>
      <c r="B14" s="280" t="s">
        <v>69</v>
      </c>
      <c r="C14" s="284">
        <v>45</v>
      </c>
      <c r="D14" s="287">
        <f>45-32</f>
        <v>13</v>
      </c>
      <c r="E14" s="134" t="s">
        <v>70</v>
      </c>
      <c r="F14" s="279">
        <f>(45-32)/45</f>
        <v>0.28888888888888886</v>
      </c>
      <c r="G14" s="127" t="s">
        <v>80</v>
      </c>
      <c r="H14" s="103">
        <f t="shared" si="3"/>
        <v>13</v>
      </c>
      <c r="I14" s="19">
        <v>3771</v>
      </c>
      <c r="J14" s="20">
        <v>3783</v>
      </c>
      <c r="K14" s="104" t="s">
        <v>10</v>
      </c>
      <c r="L14" s="106" t="s">
        <v>10</v>
      </c>
      <c r="M14" s="107" t="s">
        <v>10</v>
      </c>
      <c r="N14" s="105" t="s">
        <v>10</v>
      </c>
      <c r="O14" s="106" t="s">
        <v>10</v>
      </c>
      <c r="P14" s="107" t="s">
        <v>10</v>
      </c>
      <c r="Q14" s="108">
        <f>12+1</f>
        <v>13</v>
      </c>
      <c r="R14" s="109" t="s">
        <v>10</v>
      </c>
      <c r="S14" s="110" t="s">
        <v>10</v>
      </c>
      <c r="T14" s="31">
        <f t="shared" si="4"/>
        <v>0.60416666666666674</v>
      </c>
      <c r="U14" s="111">
        <v>0</v>
      </c>
      <c r="V14" s="112">
        <v>2</v>
      </c>
      <c r="W14" s="113">
        <v>2</v>
      </c>
      <c r="X14" s="113">
        <v>0</v>
      </c>
      <c r="Y14" s="111"/>
      <c r="Z14" s="113"/>
      <c r="AA14" s="114">
        <v>9</v>
      </c>
      <c r="AB14" s="358">
        <f t="shared" si="2"/>
        <v>0</v>
      </c>
      <c r="AC14" s="364"/>
    </row>
    <row r="15" spans="1:29" ht="27" x14ac:dyDescent="0.25">
      <c r="A15" s="59">
        <v>0.52083333333333337</v>
      </c>
      <c r="B15" s="282" t="s">
        <v>75</v>
      </c>
      <c r="C15" s="61">
        <v>9</v>
      </c>
      <c r="D15" s="61" t="s">
        <v>10</v>
      </c>
      <c r="E15" s="137" t="s">
        <v>4</v>
      </c>
      <c r="F15" s="63" t="s">
        <v>72</v>
      </c>
      <c r="G15" s="130" t="s">
        <v>120</v>
      </c>
      <c r="H15" s="103" t="s">
        <v>10</v>
      </c>
      <c r="I15" s="17" t="s">
        <v>10</v>
      </c>
      <c r="J15" s="18" t="s">
        <v>10</v>
      </c>
      <c r="K15" s="104" t="s">
        <v>10</v>
      </c>
      <c r="L15" s="277" t="s">
        <v>10</v>
      </c>
      <c r="M15" s="278" t="s">
        <v>10</v>
      </c>
      <c r="N15" s="105">
        <f t="shared" ref="N15" si="6">IF(ISBLANK(P15),0,(P15-O15+1))</f>
        <v>5</v>
      </c>
      <c r="O15" s="277">
        <v>4061</v>
      </c>
      <c r="P15" s="278">
        <v>4065</v>
      </c>
      <c r="Q15" s="108" t="s">
        <v>10</v>
      </c>
      <c r="R15" s="109" t="s">
        <v>10</v>
      </c>
      <c r="S15" s="110">
        <v>1</v>
      </c>
      <c r="T15" s="31" t="s">
        <v>10</v>
      </c>
      <c r="U15" s="288" t="s">
        <v>10</v>
      </c>
      <c r="V15" s="289" t="s">
        <v>10</v>
      </c>
      <c r="W15" s="290" t="s">
        <v>10</v>
      </c>
      <c r="X15" s="290" t="s">
        <v>10</v>
      </c>
      <c r="Y15" s="274" t="s">
        <v>10</v>
      </c>
      <c r="Z15" s="275" t="s">
        <v>10</v>
      </c>
      <c r="AA15" s="291" t="s">
        <v>10</v>
      </c>
      <c r="AB15" s="358" t="e">
        <f t="shared" si="2"/>
        <v>#VALUE!</v>
      </c>
      <c r="AC15" s="362" t="s">
        <v>137</v>
      </c>
    </row>
    <row r="16" spans="1:29" ht="18" x14ac:dyDescent="0.25">
      <c r="A16" s="51">
        <v>4.1666666666666664E-2</v>
      </c>
      <c r="B16" s="280" t="s">
        <v>69</v>
      </c>
      <c r="C16" s="284">
        <v>45</v>
      </c>
      <c r="D16" s="285">
        <f>C16-5</f>
        <v>40</v>
      </c>
      <c r="E16" s="134" t="s">
        <v>70</v>
      </c>
      <c r="F16" s="279">
        <f>(45-5)/45</f>
        <v>0.88888888888888884</v>
      </c>
      <c r="G16" s="127" t="s">
        <v>96</v>
      </c>
      <c r="H16" s="103">
        <f t="shared" si="3"/>
        <v>21</v>
      </c>
      <c r="I16" s="19">
        <v>3784</v>
      </c>
      <c r="J16" s="20">
        <v>3804</v>
      </c>
      <c r="K16" s="104" t="s">
        <v>10</v>
      </c>
      <c r="L16" s="106" t="s">
        <v>10</v>
      </c>
      <c r="M16" s="107" t="s">
        <v>10</v>
      </c>
      <c r="N16" s="105" t="s">
        <v>10</v>
      </c>
      <c r="O16" s="106" t="s">
        <v>10</v>
      </c>
      <c r="P16" s="107" t="s">
        <v>10</v>
      </c>
      <c r="Q16" s="108">
        <f>13+2</f>
        <v>15</v>
      </c>
      <c r="R16" s="109" t="s">
        <v>10</v>
      </c>
      <c r="S16" s="110" t="s">
        <v>10</v>
      </c>
      <c r="T16" s="31">
        <f t="shared" si="4"/>
        <v>0.125</v>
      </c>
      <c r="U16" s="111">
        <v>0</v>
      </c>
      <c r="V16" s="112">
        <v>0</v>
      </c>
      <c r="W16" s="113">
        <v>2</v>
      </c>
      <c r="X16" s="113">
        <v>0</v>
      </c>
      <c r="Y16" s="111"/>
      <c r="Z16" s="113"/>
      <c r="AA16" s="114">
        <v>13</v>
      </c>
      <c r="AB16" s="358">
        <f t="shared" si="2"/>
        <v>0</v>
      </c>
      <c r="AC16" s="363" t="s">
        <v>133</v>
      </c>
    </row>
    <row r="17" spans="1:29" ht="27" x14ac:dyDescent="0.25">
      <c r="A17" s="59">
        <v>6.25E-2</v>
      </c>
      <c r="B17" s="282" t="s">
        <v>76</v>
      </c>
      <c r="C17" s="61">
        <v>50</v>
      </c>
      <c r="D17" s="61" t="s">
        <v>10</v>
      </c>
      <c r="E17" s="137" t="s">
        <v>4</v>
      </c>
      <c r="F17" s="63" t="s">
        <v>72</v>
      </c>
      <c r="G17" s="130" t="s">
        <v>121</v>
      </c>
      <c r="H17" s="103" t="s">
        <v>10</v>
      </c>
      <c r="I17" s="17" t="s">
        <v>10</v>
      </c>
      <c r="J17" s="18" t="s">
        <v>10</v>
      </c>
      <c r="K17" s="104" t="s">
        <v>10</v>
      </c>
      <c r="L17" s="277" t="s">
        <v>10</v>
      </c>
      <c r="M17" s="278" t="s">
        <v>10</v>
      </c>
      <c r="N17" s="105">
        <f t="shared" ref="N17" si="7">IF(ISBLANK(P17),0,(P17-O17+1))</f>
        <v>6</v>
      </c>
      <c r="O17" s="277">
        <v>4066</v>
      </c>
      <c r="P17" s="278">
        <v>4071</v>
      </c>
      <c r="Q17" s="108" t="s">
        <v>10</v>
      </c>
      <c r="R17" s="109" t="s">
        <v>10</v>
      </c>
      <c r="S17" s="110">
        <v>1</v>
      </c>
      <c r="T17" s="31" t="s">
        <v>10</v>
      </c>
      <c r="U17" s="288" t="s">
        <v>10</v>
      </c>
      <c r="V17" s="289" t="s">
        <v>10</v>
      </c>
      <c r="W17" s="290" t="s">
        <v>10</v>
      </c>
      <c r="X17" s="290" t="s">
        <v>10</v>
      </c>
      <c r="Y17" s="274" t="s">
        <v>10</v>
      </c>
      <c r="Z17" s="275" t="s">
        <v>10</v>
      </c>
      <c r="AA17" s="291" t="s">
        <v>10</v>
      </c>
      <c r="AB17" s="358" t="e">
        <f t="shared" si="2"/>
        <v>#VALUE!</v>
      </c>
      <c r="AC17" s="362" t="s">
        <v>138</v>
      </c>
    </row>
    <row r="18" spans="1:29" ht="20.100000000000001" customHeight="1" x14ac:dyDescent="0.25">
      <c r="A18" s="51">
        <v>8.3333333333333329E-2</v>
      </c>
      <c r="B18" s="280" t="s">
        <v>69</v>
      </c>
      <c r="C18" s="284">
        <v>45</v>
      </c>
      <c r="D18" s="287">
        <f>45-30</f>
        <v>15</v>
      </c>
      <c r="E18" s="134" t="s">
        <v>70</v>
      </c>
      <c r="F18" s="279">
        <f>(45-30)/45</f>
        <v>0.33333333333333331</v>
      </c>
      <c r="G18" s="127" t="s">
        <v>93</v>
      </c>
      <c r="H18" s="103">
        <f t="shared" ref="H18:H38" si="8">IF(ISBLANK(J18),0,(J18-I18+1))</f>
        <v>20</v>
      </c>
      <c r="I18" s="19">
        <v>3805</v>
      </c>
      <c r="J18" s="20">
        <v>3824</v>
      </c>
      <c r="K18" s="104" t="s">
        <v>10</v>
      </c>
      <c r="L18" s="106" t="s">
        <v>10</v>
      </c>
      <c r="M18" s="107" t="s">
        <v>10</v>
      </c>
      <c r="N18" s="105" t="s">
        <v>10</v>
      </c>
      <c r="O18" s="106" t="s">
        <v>10</v>
      </c>
      <c r="P18" s="107" t="s">
        <v>10</v>
      </c>
      <c r="Q18" s="108">
        <f>19+0</f>
        <v>19</v>
      </c>
      <c r="R18" s="109" t="s">
        <v>10</v>
      </c>
      <c r="S18" s="110" t="s">
        <v>10</v>
      </c>
      <c r="T18" s="31">
        <f t="shared" ref="T18:T38" si="9">A18+TIME(2,0,0)</f>
        <v>0.16666666666666666</v>
      </c>
      <c r="U18" s="111">
        <v>0</v>
      </c>
      <c r="V18" s="112">
        <v>4</v>
      </c>
      <c r="W18" s="113">
        <v>5</v>
      </c>
      <c r="X18" s="113">
        <v>0</v>
      </c>
      <c r="Y18" s="111"/>
      <c r="Z18" s="367">
        <v>1</v>
      </c>
      <c r="AA18" s="114">
        <v>9</v>
      </c>
      <c r="AB18" s="358">
        <f t="shared" si="2"/>
        <v>0</v>
      </c>
      <c r="AC18" s="365" t="s">
        <v>141</v>
      </c>
    </row>
    <row r="19" spans="1:29" ht="20.100000000000001" customHeight="1" x14ac:dyDescent="0.25">
      <c r="A19" s="51">
        <v>0.10416666666666667</v>
      </c>
      <c r="B19" s="280" t="s">
        <v>69</v>
      </c>
      <c r="C19" s="284">
        <v>45</v>
      </c>
      <c r="D19" s="287">
        <f>45-36</f>
        <v>9</v>
      </c>
      <c r="E19" s="134" t="s">
        <v>70</v>
      </c>
      <c r="F19" s="279">
        <f>(45-36)/45</f>
        <v>0.2</v>
      </c>
      <c r="G19" s="127" t="s">
        <v>99</v>
      </c>
      <c r="H19" s="103">
        <f t="shared" si="8"/>
        <v>15</v>
      </c>
      <c r="I19" s="19">
        <v>3825</v>
      </c>
      <c r="J19" s="20">
        <v>3839</v>
      </c>
      <c r="K19" s="104" t="s">
        <v>10</v>
      </c>
      <c r="L19" s="106" t="s">
        <v>10</v>
      </c>
      <c r="M19" s="107" t="s">
        <v>10</v>
      </c>
      <c r="N19" s="105" t="s">
        <v>10</v>
      </c>
      <c r="O19" s="106" t="s">
        <v>10</v>
      </c>
      <c r="P19" s="107" t="s">
        <v>10</v>
      </c>
      <c r="Q19" s="108">
        <f>14+1</f>
        <v>15</v>
      </c>
      <c r="R19" s="109" t="s">
        <v>10</v>
      </c>
      <c r="S19" s="110" t="s">
        <v>10</v>
      </c>
      <c r="T19" s="31">
        <f t="shared" si="9"/>
        <v>0.1875</v>
      </c>
      <c r="U19" s="111">
        <v>0</v>
      </c>
      <c r="V19" s="112">
        <v>3</v>
      </c>
      <c r="W19" s="113">
        <v>3</v>
      </c>
      <c r="X19" s="113">
        <v>1</v>
      </c>
      <c r="Y19" s="111"/>
      <c r="Z19" s="367">
        <v>1</v>
      </c>
      <c r="AA19" s="114">
        <v>7</v>
      </c>
      <c r="AB19" s="358">
        <f t="shared" si="2"/>
        <v>0</v>
      </c>
      <c r="AC19" s="365" t="s">
        <v>141</v>
      </c>
    </row>
    <row r="20" spans="1:29" ht="20.100000000000001" customHeight="1" x14ac:dyDescent="0.25">
      <c r="A20" s="51">
        <v>0.125</v>
      </c>
      <c r="B20" s="280" t="s">
        <v>69</v>
      </c>
      <c r="C20" s="284">
        <v>45</v>
      </c>
      <c r="D20" s="286">
        <f>45-18</f>
        <v>27</v>
      </c>
      <c r="E20" s="134" t="s">
        <v>70</v>
      </c>
      <c r="F20" s="279">
        <f>(45-18)/45</f>
        <v>0.6</v>
      </c>
      <c r="G20" s="127" t="s">
        <v>119</v>
      </c>
      <c r="H20" s="103">
        <f t="shared" si="8"/>
        <v>14</v>
      </c>
      <c r="I20" s="19">
        <v>3840</v>
      </c>
      <c r="J20" s="20">
        <v>3853</v>
      </c>
      <c r="K20" s="104" t="s">
        <v>10</v>
      </c>
      <c r="L20" s="106" t="s">
        <v>10</v>
      </c>
      <c r="M20" s="107" t="s">
        <v>10</v>
      </c>
      <c r="N20" s="105" t="s">
        <v>10</v>
      </c>
      <c r="O20" s="106" t="s">
        <v>10</v>
      </c>
      <c r="P20" s="107" t="s">
        <v>10</v>
      </c>
      <c r="Q20" s="108">
        <f>10+4</f>
        <v>14</v>
      </c>
      <c r="R20" s="109" t="s">
        <v>10</v>
      </c>
      <c r="S20" s="110" t="s">
        <v>10</v>
      </c>
      <c r="T20" s="31">
        <f t="shared" si="9"/>
        <v>0.20833333333333331</v>
      </c>
      <c r="U20" s="111">
        <v>0</v>
      </c>
      <c r="V20" s="112">
        <v>1</v>
      </c>
      <c r="W20" s="113">
        <v>2</v>
      </c>
      <c r="X20" s="113">
        <v>3</v>
      </c>
      <c r="Y20" s="111"/>
      <c r="Z20" s="113"/>
      <c r="AA20" s="114">
        <v>8</v>
      </c>
      <c r="AB20" s="358">
        <f t="shared" si="2"/>
        <v>0</v>
      </c>
      <c r="AC20" s="364"/>
    </row>
    <row r="21" spans="1:29" ht="20.100000000000001" customHeight="1" x14ac:dyDescent="0.25">
      <c r="A21" s="51">
        <v>0.16666666666666666</v>
      </c>
      <c r="B21" s="280" t="s">
        <v>69</v>
      </c>
      <c r="C21" s="284">
        <v>45</v>
      </c>
      <c r="D21" s="287">
        <f>45-30</f>
        <v>15</v>
      </c>
      <c r="E21" s="134" t="s">
        <v>70</v>
      </c>
      <c r="F21" s="279">
        <f>(45-30)/45</f>
        <v>0.33333333333333331</v>
      </c>
      <c r="G21" s="127" t="s">
        <v>91</v>
      </c>
      <c r="H21" s="103">
        <f t="shared" si="8"/>
        <v>17</v>
      </c>
      <c r="I21" s="19">
        <v>3854</v>
      </c>
      <c r="J21" s="20">
        <v>3870</v>
      </c>
      <c r="K21" s="104" t="s">
        <v>10</v>
      </c>
      <c r="L21" s="106" t="s">
        <v>10</v>
      </c>
      <c r="M21" s="107" t="s">
        <v>10</v>
      </c>
      <c r="N21" s="105" t="s">
        <v>10</v>
      </c>
      <c r="O21" s="106" t="s">
        <v>10</v>
      </c>
      <c r="P21" s="107" t="s">
        <v>10</v>
      </c>
      <c r="Q21" s="108">
        <f>12+2</f>
        <v>14</v>
      </c>
      <c r="R21" s="109" t="s">
        <v>10</v>
      </c>
      <c r="S21" s="110" t="s">
        <v>10</v>
      </c>
      <c r="T21" s="31">
        <f t="shared" si="9"/>
        <v>0.25</v>
      </c>
      <c r="U21" s="111">
        <v>0</v>
      </c>
      <c r="V21" s="112">
        <v>3</v>
      </c>
      <c r="W21" s="113">
        <v>5</v>
      </c>
      <c r="X21" s="113">
        <v>0</v>
      </c>
      <c r="Y21" s="111"/>
      <c r="Z21" s="113"/>
      <c r="AA21" s="114">
        <v>6</v>
      </c>
      <c r="AB21" s="358">
        <f t="shared" si="2"/>
        <v>0</v>
      </c>
      <c r="AC21" s="365" t="s">
        <v>134</v>
      </c>
    </row>
    <row r="22" spans="1:29" ht="20.100000000000001" customHeight="1" thickBot="1" x14ac:dyDescent="0.3">
      <c r="A22" s="51">
        <v>0.1875</v>
      </c>
      <c r="B22" s="280" t="s">
        <v>69</v>
      </c>
      <c r="C22" s="284">
        <v>45</v>
      </c>
      <c r="D22" s="287">
        <f>45-41</f>
        <v>4</v>
      </c>
      <c r="E22" s="134" t="s">
        <v>70</v>
      </c>
      <c r="F22" s="279">
        <f>(45-41)/45</f>
        <v>8.8888888888888892E-2</v>
      </c>
      <c r="G22" s="127" t="s">
        <v>99</v>
      </c>
      <c r="H22" s="103">
        <f t="shared" si="8"/>
        <v>13</v>
      </c>
      <c r="I22" s="19">
        <v>3871</v>
      </c>
      <c r="J22" s="20">
        <v>3883</v>
      </c>
      <c r="K22" s="104" t="s">
        <v>10</v>
      </c>
      <c r="L22" s="106" t="s">
        <v>10</v>
      </c>
      <c r="M22" s="107" t="s">
        <v>10</v>
      </c>
      <c r="N22" s="105" t="s">
        <v>10</v>
      </c>
      <c r="O22" s="106" t="s">
        <v>10</v>
      </c>
      <c r="P22" s="107" t="s">
        <v>10</v>
      </c>
      <c r="Q22" s="108">
        <f>12+0</f>
        <v>12</v>
      </c>
      <c r="R22" s="109" t="s">
        <v>10</v>
      </c>
      <c r="S22" s="110" t="s">
        <v>10</v>
      </c>
      <c r="T22" s="31">
        <f t="shared" si="9"/>
        <v>0.27083333333333331</v>
      </c>
      <c r="U22" s="111">
        <v>0</v>
      </c>
      <c r="V22" s="112">
        <v>3</v>
      </c>
      <c r="W22" s="113">
        <v>3</v>
      </c>
      <c r="X22" s="113">
        <v>0</v>
      </c>
      <c r="Y22" s="111"/>
      <c r="Z22" s="367">
        <v>1</v>
      </c>
      <c r="AA22" s="114">
        <v>5</v>
      </c>
      <c r="AB22" s="358">
        <f t="shared" si="2"/>
        <v>0</v>
      </c>
      <c r="AC22" s="366" t="s">
        <v>142</v>
      </c>
    </row>
    <row r="23" spans="1:29" ht="20.100000000000001" hidden="1" customHeight="1" x14ac:dyDescent="0.25">
      <c r="A23" s="51">
        <f>'03.16 (v2)'!A23</f>
        <v>0</v>
      </c>
      <c r="B23" s="52">
        <f>'03.16 (v2)'!B23</f>
        <v>0</v>
      </c>
      <c r="C23" s="58">
        <f>'03.16 (v2)'!C23</f>
        <v>0</v>
      </c>
      <c r="D23" s="58"/>
      <c r="E23" s="58">
        <f>'03.16 (v2)'!E23</f>
        <v>0</v>
      </c>
      <c r="F23" s="53">
        <f>'03.16 (v2)'!F23</f>
        <v>0</v>
      </c>
      <c r="G23" s="65">
        <f>'03.16 (v2)'!G23</f>
        <v>0</v>
      </c>
      <c r="H23" s="103">
        <f t="shared" si="8"/>
        <v>0</v>
      </c>
      <c r="I23" s="106"/>
      <c r="J23" s="107"/>
      <c r="K23" s="104">
        <f t="shared" ref="K23:K38" si="10">IF(ISBLANK(M23),0,(M23-L23+1))</f>
        <v>0</v>
      </c>
      <c r="L23" s="106"/>
      <c r="M23" s="107"/>
      <c r="N23" s="105">
        <f t="shared" ref="N23:N38" si="11">IF(ISBLANK(P23),0,(P23-O23+1))</f>
        <v>0</v>
      </c>
      <c r="O23" s="106"/>
      <c r="P23" s="107"/>
      <c r="Q23" s="108"/>
      <c r="R23" s="109"/>
      <c r="S23" s="110"/>
      <c r="T23" s="31">
        <f t="shared" si="9"/>
        <v>8.3333333333333329E-2</v>
      </c>
      <c r="U23" s="111"/>
      <c r="V23" s="112"/>
      <c r="W23" s="113"/>
      <c r="X23" s="113"/>
      <c r="Y23" s="111"/>
      <c r="Z23" s="113"/>
      <c r="AA23" s="114"/>
      <c r="AB23" s="180">
        <f t="shared" si="2"/>
        <v>-90</v>
      </c>
      <c r="AC23" s="360"/>
    </row>
    <row r="24" spans="1:29" ht="20.100000000000001" hidden="1" customHeight="1" x14ac:dyDescent="0.25">
      <c r="A24" s="51">
        <f>'03.16 (v2)'!A24</f>
        <v>0</v>
      </c>
      <c r="B24" s="52">
        <f>'03.16 (v2)'!B24</f>
        <v>0</v>
      </c>
      <c r="C24" s="58">
        <f>'03.16 (v2)'!C24</f>
        <v>0</v>
      </c>
      <c r="D24" s="58"/>
      <c r="E24" s="58">
        <f>'03.16 (v2)'!E24</f>
        <v>0</v>
      </c>
      <c r="F24" s="53">
        <f>'03.16 (v2)'!F24</f>
        <v>0</v>
      </c>
      <c r="G24" s="65">
        <f>'03.16 (v2)'!G24</f>
        <v>0</v>
      </c>
      <c r="H24" s="103">
        <f t="shared" si="8"/>
        <v>0</v>
      </c>
      <c r="I24" s="106"/>
      <c r="J24" s="107"/>
      <c r="K24" s="104">
        <f t="shared" si="10"/>
        <v>0</v>
      </c>
      <c r="L24" s="106"/>
      <c r="M24" s="107"/>
      <c r="N24" s="105">
        <f t="shared" si="11"/>
        <v>0</v>
      </c>
      <c r="O24" s="106"/>
      <c r="P24" s="107"/>
      <c r="Q24" s="108"/>
      <c r="R24" s="109"/>
      <c r="S24" s="110"/>
      <c r="T24" s="31">
        <f t="shared" si="9"/>
        <v>8.3333333333333329E-2</v>
      </c>
      <c r="U24" s="111"/>
      <c r="V24" s="112"/>
      <c r="W24" s="113"/>
      <c r="X24" s="113"/>
      <c r="Y24" s="111"/>
      <c r="Z24" s="113"/>
      <c r="AA24" s="114"/>
      <c r="AB24" s="180">
        <f t="shared" si="2"/>
        <v>-90</v>
      </c>
      <c r="AC24" s="53"/>
    </row>
    <row r="25" spans="1:29" ht="20.100000000000001" hidden="1" customHeight="1" x14ac:dyDescent="0.25">
      <c r="A25" s="51">
        <f>'03.16 (v2)'!A25</f>
        <v>0</v>
      </c>
      <c r="B25" s="52">
        <f>'03.16 (v2)'!B25</f>
        <v>0</v>
      </c>
      <c r="C25" s="58">
        <f>'03.16 (v2)'!C25</f>
        <v>0</v>
      </c>
      <c r="D25" s="58"/>
      <c r="E25" s="58">
        <f>'03.16 (v2)'!E25</f>
        <v>0</v>
      </c>
      <c r="F25" s="53">
        <f>'03.16 (v2)'!F25</f>
        <v>0</v>
      </c>
      <c r="G25" s="65">
        <f>'03.16 (v2)'!G25</f>
        <v>0</v>
      </c>
      <c r="H25" s="103">
        <f t="shared" si="8"/>
        <v>0</v>
      </c>
      <c r="I25" s="106"/>
      <c r="J25" s="107"/>
      <c r="K25" s="104">
        <f t="shared" si="10"/>
        <v>0</v>
      </c>
      <c r="L25" s="106"/>
      <c r="M25" s="107"/>
      <c r="N25" s="105">
        <f t="shared" si="11"/>
        <v>0</v>
      </c>
      <c r="O25" s="106"/>
      <c r="P25" s="107"/>
      <c r="Q25" s="108"/>
      <c r="R25" s="109"/>
      <c r="S25" s="110"/>
      <c r="T25" s="31">
        <f t="shared" si="9"/>
        <v>8.3333333333333329E-2</v>
      </c>
      <c r="U25" s="111"/>
      <c r="V25" s="112"/>
      <c r="W25" s="113"/>
      <c r="X25" s="113"/>
      <c r="Y25" s="111"/>
      <c r="Z25" s="113"/>
      <c r="AA25" s="114"/>
      <c r="AB25" s="180">
        <f t="shared" si="2"/>
        <v>-90</v>
      </c>
      <c r="AC25" s="53"/>
    </row>
    <row r="26" spans="1:29" ht="20.100000000000001" hidden="1" customHeight="1" x14ac:dyDescent="0.25">
      <c r="A26" s="51">
        <f>'03.16 (v2)'!A26</f>
        <v>0</v>
      </c>
      <c r="B26" s="52">
        <f>'03.16 (v2)'!B26</f>
        <v>0</v>
      </c>
      <c r="C26" s="58">
        <f>'03.16 (v2)'!C26</f>
        <v>0</v>
      </c>
      <c r="D26" s="58"/>
      <c r="E26" s="58">
        <f>'03.16 (v2)'!E26</f>
        <v>0</v>
      </c>
      <c r="F26" s="53">
        <f>'03.16 (v2)'!F26</f>
        <v>0</v>
      </c>
      <c r="G26" s="65">
        <f>'03.16 (v2)'!G26</f>
        <v>0</v>
      </c>
      <c r="H26" s="103">
        <f t="shared" si="8"/>
        <v>0</v>
      </c>
      <c r="I26" s="106"/>
      <c r="J26" s="107"/>
      <c r="K26" s="104">
        <f t="shared" si="10"/>
        <v>0</v>
      </c>
      <c r="L26" s="106"/>
      <c r="M26" s="107"/>
      <c r="N26" s="105">
        <f t="shared" si="11"/>
        <v>0</v>
      </c>
      <c r="O26" s="106"/>
      <c r="P26" s="107"/>
      <c r="Q26" s="108"/>
      <c r="R26" s="109"/>
      <c r="S26" s="110"/>
      <c r="T26" s="31">
        <f t="shared" si="9"/>
        <v>8.3333333333333329E-2</v>
      </c>
      <c r="U26" s="111"/>
      <c r="V26" s="112"/>
      <c r="W26" s="113"/>
      <c r="X26" s="113"/>
      <c r="Y26" s="111"/>
      <c r="Z26" s="113"/>
      <c r="AA26" s="114"/>
      <c r="AB26" s="180">
        <f t="shared" si="2"/>
        <v>-90</v>
      </c>
      <c r="AC26" s="53"/>
    </row>
    <row r="27" spans="1:29" ht="20.100000000000001" hidden="1" customHeight="1" x14ac:dyDescent="0.25">
      <c r="A27" s="51">
        <f>'03.16 (v2)'!A27</f>
        <v>0</v>
      </c>
      <c r="B27" s="52">
        <f>'03.16 (v2)'!B27</f>
        <v>0</v>
      </c>
      <c r="C27" s="58">
        <f>'03.16 (v2)'!C27</f>
        <v>0</v>
      </c>
      <c r="D27" s="58"/>
      <c r="E27" s="58">
        <f>'03.16 (v2)'!E27</f>
        <v>0</v>
      </c>
      <c r="F27" s="53">
        <f>'03.16 (v2)'!F27</f>
        <v>0</v>
      </c>
      <c r="G27" s="65">
        <f>'03.16 (v2)'!G27</f>
        <v>0</v>
      </c>
      <c r="H27" s="103">
        <f t="shared" si="8"/>
        <v>0</v>
      </c>
      <c r="I27" s="106"/>
      <c r="J27" s="107"/>
      <c r="K27" s="104">
        <f t="shared" si="10"/>
        <v>0</v>
      </c>
      <c r="L27" s="106"/>
      <c r="M27" s="107"/>
      <c r="N27" s="105">
        <f t="shared" si="11"/>
        <v>0</v>
      </c>
      <c r="O27" s="106"/>
      <c r="P27" s="107"/>
      <c r="Q27" s="108"/>
      <c r="R27" s="109"/>
      <c r="S27" s="110"/>
      <c r="T27" s="31">
        <f t="shared" si="9"/>
        <v>8.3333333333333329E-2</v>
      </c>
      <c r="U27" s="111"/>
      <c r="V27" s="112"/>
      <c r="W27" s="113"/>
      <c r="X27" s="113"/>
      <c r="Y27" s="111"/>
      <c r="Z27" s="113"/>
      <c r="AA27" s="114"/>
      <c r="AB27" s="180">
        <f t="shared" si="2"/>
        <v>-90</v>
      </c>
      <c r="AC27" s="53"/>
    </row>
    <row r="28" spans="1:29" ht="20.100000000000001" hidden="1" customHeight="1" x14ac:dyDescent="0.25">
      <c r="A28" s="51">
        <f>'03.16 (v2)'!A28</f>
        <v>0</v>
      </c>
      <c r="B28" s="52">
        <f>'03.16 (v2)'!B28</f>
        <v>0</v>
      </c>
      <c r="C28" s="58">
        <f>'03.16 (v2)'!C28</f>
        <v>0</v>
      </c>
      <c r="D28" s="58"/>
      <c r="E28" s="58">
        <f>'03.16 (v2)'!E28</f>
        <v>0</v>
      </c>
      <c r="F28" s="53">
        <f>'03.16 (v2)'!F28</f>
        <v>0</v>
      </c>
      <c r="G28" s="65">
        <f>'03.16 (v2)'!G28</f>
        <v>0</v>
      </c>
      <c r="H28" s="103">
        <f t="shared" si="8"/>
        <v>0</v>
      </c>
      <c r="I28" s="106"/>
      <c r="J28" s="107"/>
      <c r="K28" s="104">
        <f t="shared" si="10"/>
        <v>0</v>
      </c>
      <c r="L28" s="106"/>
      <c r="M28" s="107"/>
      <c r="N28" s="105">
        <f t="shared" si="11"/>
        <v>0</v>
      </c>
      <c r="O28" s="106"/>
      <c r="P28" s="107"/>
      <c r="Q28" s="108"/>
      <c r="R28" s="109"/>
      <c r="S28" s="110"/>
      <c r="T28" s="31">
        <f t="shared" si="9"/>
        <v>8.3333333333333329E-2</v>
      </c>
      <c r="U28" s="111"/>
      <c r="V28" s="112"/>
      <c r="W28" s="113"/>
      <c r="X28" s="113"/>
      <c r="Y28" s="111"/>
      <c r="Z28" s="113"/>
      <c r="AA28" s="114"/>
      <c r="AB28" s="180">
        <f t="shared" si="2"/>
        <v>-90</v>
      </c>
      <c r="AC28" s="53"/>
    </row>
    <row r="29" spans="1:29" ht="20.100000000000001" hidden="1" customHeight="1" x14ac:dyDescent="0.25">
      <c r="A29" s="51">
        <f>'03.16 (v2)'!A29</f>
        <v>0</v>
      </c>
      <c r="B29" s="52">
        <f>'03.16 (v2)'!B29</f>
        <v>0</v>
      </c>
      <c r="C29" s="58">
        <f>'03.16 (v2)'!C29</f>
        <v>0</v>
      </c>
      <c r="D29" s="58"/>
      <c r="E29" s="58">
        <f>'03.16 (v2)'!E29</f>
        <v>0</v>
      </c>
      <c r="F29" s="53">
        <f>'03.16 (v2)'!F29</f>
        <v>0</v>
      </c>
      <c r="G29" s="65">
        <f>'03.16 (v2)'!G29</f>
        <v>0</v>
      </c>
      <c r="H29" s="103">
        <f t="shared" si="8"/>
        <v>0</v>
      </c>
      <c r="I29" s="106"/>
      <c r="J29" s="107"/>
      <c r="K29" s="104">
        <f t="shared" si="10"/>
        <v>0</v>
      </c>
      <c r="L29" s="106"/>
      <c r="M29" s="107"/>
      <c r="N29" s="105">
        <f t="shared" si="11"/>
        <v>0</v>
      </c>
      <c r="O29" s="106"/>
      <c r="P29" s="107"/>
      <c r="Q29" s="108"/>
      <c r="R29" s="109"/>
      <c r="S29" s="110"/>
      <c r="T29" s="31">
        <f t="shared" si="9"/>
        <v>8.3333333333333329E-2</v>
      </c>
      <c r="U29" s="111"/>
      <c r="V29" s="112"/>
      <c r="W29" s="113"/>
      <c r="X29" s="113"/>
      <c r="Y29" s="111"/>
      <c r="Z29" s="113"/>
      <c r="AA29" s="114"/>
      <c r="AB29" s="180">
        <f t="shared" si="2"/>
        <v>-90</v>
      </c>
      <c r="AC29" s="53"/>
    </row>
    <row r="30" spans="1:29" ht="20.100000000000001" hidden="1" customHeight="1" x14ac:dyDescent="0.25">
      <c r="A30" s="51">
        <f>'03.16 (v2)'!A30</f>
        <v>0</v>
      </c>
      <c r="B30" s="52">
        <f>'03.16 (v2)'!B30</f>
        <v>0</v>
      </c>
      <c r="C30" s="58">
        <f>'03.16 (v2)'!C30</f>
        <v>0</v>
      </c>
      <c r="D30" s="58"/>
      <c r="E30" s="58">
        <f>'03.16 (v2)'!E30</f>
        <v>0</v>
      </c>
      <c r="F30" s="53">
        <f>'03.16 (v2)'!F30</f>
        <v>0</v>
      </c>
      <c r="G30" s="65">
        <f>'03.16 (v2)'!G30</f>
        <v>0</v>
      </c>
      <c r="H30" s="103">
        <f t="shared" si="8"/>
        <v>0</v>
      </c>
      <c r="I30" s="106"/>
      <c r="J30" s="107"/>
      <c r="K30" s="104">
        <f t="shared" si="10"/>
        <v>0</v>
      </c>
      <c r="L30" s="106"/>
      <c r="M30" s="107"/>
      <c r="N30" s="105">
        <f t="shared" si="11"/>
        <v>0</v>
      </c>
      <c r="O30" s="106"/>
      <c r="P30" s="107"/>
      <c r="Q30" s="108"/>
      <c r="R30" s="109"/>
      <c r="S30" s="110"/>
      <c r="T30" s="31">
        <f t="shared" si="9"/>
        <v>8.3333333333333329E-2</v>
      </c>
      <c r="U30" s="111"/>
      <c r="V30" s="112"/>
      <c r="W30" s="113"/>
      <c r="X30" s="113"/>
      <c r="Y30" s="111"/>
      <c r="Z30" s="113"/>
      <c r="AA30" s="114"/>
      <c r="AB30" s="180">
        <f t="shared" si="2"/>
        <v>-90</v>
      </c>
      <c r="AC30" s="53"/>
    </row>
    <row r="31" spans="1:29" ht="20.100000000000001" hidden="1" customHeight="1" x14ac:dyDescent="0.25">
      <c r="A31" s="51">
        <f>'03.16 (v2)'!A31</f>
        <v>0</v>
      </c>
      <c r="B31" s="52">
        <f>'03.16 (v2)'!B31</f>
        <v>0</v>
      </c>
      <c r="C31" s="58">
        <f>'03.16 (v2)'!C31</f>
        <v>0</v>
      </c>
      <c r="D31" s="58"/>
      <c r="E31" s="58">
        <f>'03.16 (v2)'!E31</f>
        <v>0</v>
      </c>
      <c r="F31" s="53">
        <f>'03.16 (v2)'!F31</f>
        <v>0</v>
      </c>
      <c r="G31" s="65">
        <f>'03.16 (v2)'!G31</f>
        <v>0</v>
      </c>
      <c r="H31" s="103">
        <f t="shared" si="8"/>
        <v>0</v>
      </c>
      <c r="I31" s="106"/>
      <c r="J31" s="107"/>
      <c r="K31" s="104">
        <f t="shared" si="10"/>
        <v>0</v>
      </c>
      <c r="L31" s="106"/>
      <c r="M31" s="107"/>
      <c r="N31" s="105">
        <f t="shared" si="11"/>
        <v>0</v>
      </c>
      <c r="O31" s="106"/>
      <c r="P31" s="107"/>
      <c r="Q31" s="108"/>
      <c r="R31" s="109"/>
      <c r="S31" s="110"/>
      <c r="T31" s="31">
        <f t="shared" si="9"/>
        <v>8.3333333333333329E-2</v>
      </c>
      <c r="U31" s="111"/>
      <c r="V31" s="112"/>
      <c r="W31" s="113"/>
      <c r="X31" s="113"/>
      <c r="Y31" s="111"/>
      <c r="Z31" s="113"/>
      <c r="AA31" s="114"/>
      <c r="AB31" s="180">
        <f t="shared" si="2"/>
        <v>-90</v>
      </c>
      <c r="AC31" s="53"/>
    </row>
    <row r="32" spans="1:29" ht="20.100000000000001" hidden="1" customHeight="1" x14ac:dyDescent="0.25">
      <c r="A32" s="51">
        <f>'03.16 (v2)'!A32</f>
        <v>0</v>
      </c>
      <c r="B32" s="52">
        <f>'03.16 (v2)'!B32</f>
        <v>0</v>
      </c>
      <c r="C32" s="58">
        <f>'03.16 (v2)'!C32</f>
        <v>0</v>
      </c>
      <c r="D32" s="58"/>
      <c r="E32" s="58">
        <f>'03.16 (v2)'!E32</f>
        <v>0</v>
      </c>
      <c r="F32" s="53">
        <f>'03.16 (v2)'!F32</f>
        <v>0</v>
      </c>
      <c r="G32" s="65">
        <f>'03.16 (v2)'!G32</f>
        <v>0</v>
      </c>
      <c r="H32" s="103">
        <f t="shared" si="8"/>
        <v>0</v>
      </c>
      <c r="I32" s="106"/>
      <c r="J32" s="107"/>
      <c r="K32" s="104">
        <f t="shared" si="10"/>
        <v>0</v>
      </c>
      <c r="L32" s="106"/>
      <c r="M32" s="107"/>
      <c r="N32" s="105">
        <f t="shared" si="11"/>
        <v>0</v>
      </c>
      <c r="O32" s="106"/>
      <c r="P32" s="107"/>
      <c r="Q32" s="108"/>
      <c r="R32" s="109"/>
      <c r="S32" s="110"/>
      <c r="T32" s="31">
        <f t="shared" si="9"/>
        <v>8.3333333333333329E-2</v>
      </c>
      <c r="U32" s="111"/>
      <c r="V32" s="112"/>
      <c r="W32" s="113"/>
      <c r="X32" s="113"/>
      <c r="Y32" s="111"/>
      <c r="Z32" s="113"/>
      <c r="AA32" s="114"/>
      <c r="AB32" s="180">
        <f t="shared" si="2"/>
        <v>-90</v>
      </c>
      <c r="AC32" s="53"/>
    </row>
    <row r="33" spans="1:29" ht="20.100000000000001" hidden="1" customHeight="1" x14ac:dyDescent="0.25">
      <c r="A33" s="51">
        <f>'03.16 (v2)'!A33</f>
        <v>0</v>
      </c>
      <c r="B33" s="52">
        <f>'03.16 (v2)'!B33</f>
        <v>0</v>
      </c>
      <c r="C33" s="58">
        <f>'03.16 (v2)'!C33</f>
        <v>0</v>
      </c>
      <c r="D33" s="58"/>
      <c r="E33" s="58">
        <f>'03.16 (v2)'!E33</f>
        <v>0</v>
      </c>
      <c r="F33" s="53">
        <f>'03.16 (v2)'!F33</f>
        <v>0</v>
      </c>
      <c r="G33" s="65">
        <f>'03.16 (v2)'!G33</f>
        <v>0</v>
      </c>
      <c r="H33" s="103">
        <f t="shared" si="8"/>
        <v>0</v>
      </c>
      <c r="I33" s="106"/>
      <c r="J33" s="107"/>
      <c r="K33" s="104">
        <f t="shared" si="10"/>
        <v>0</v>
      </c>
      <c r="L33" s="106"/>
      <c r="M33" s="107"/>
      <c r="N33" s="105">
        <f t="shared" si="11"/>
        <v>0</v>
      </c>
      <c r="O33" s="106"/>
      <c r="P33" s="107"/>
      <c r="Q33" s="108"/>
      <c r="R33" s="109"/>
      <c r="S33" s="110"/>
      <c r="T33" s="31">
        <f t="shared" si="9"/>
        <v>8.3333333333333329E-2</v>
      </c>
      <c r="U33" s="111"/>
      <c r="V33" s="112"/>
      <c r="W33" s="113"/>
      <c r="X33" s="113"/>
      <c r="Y33" s="111"/>
      <c r="Z33" s="113"/>
      <c r="AA33" s="114"/>
      <c r="AB33" s="180">
        <f t="shared" si="2"/>
        <v>-90</v>
      </c>
      <c r="AC33" s="53"/>
    </row>
    <row r="34" spans="1:29" ht="20.100000000000001" hidden="1" customHeight="1" x14ac:dyDescent="0.25">
      <c r="A34" s="51">
        <f>'03.16 (v2)'!A34</f>
        <v>0</v>
      </c>
      <c r="B34" s="52">
        <f>'03.16 (v2)'!B34</f>
        <v>0</v>
      </c>
      <c r="C34" s="58">
        <f>'03.16 (v2)'!C34</f>
        <v>0</v>
      </c>
      <c r="D34" s="58"/>
      <c r="E34" s="58">
        <f>'03.16 (v2)'!E34</f>
        <v>0</v>
      </c>
      <c r="F34" s="53">
        <f>'03.16 (v2)'!F34</f>
        <v>0</v>
      </c>
      <c r="G34" s="65">
        <f>'03.16 (v2)'!G34</f>
        <v>0</v>
      </c>
      <c r="H34" s="103">
        <f t="shared" si="8"/>
        <v>0</v>
      </c>
      <c r="I34" s="106"/>
      <c r="J34" s="107"/>
      <c r="K34" s="104">
        <f t="shared" si="10"/>
        <v>0</v>
      </c>
      <c r="L34" s="106"/>
      <c r="M34" s="107"/>
      <c r="N34" s="105">
        <f t="shared" si="11"/>
        <v>0</v>
      </c>
      <c r="O34" s="106"/>
      <c r="P34" s="107"/>
      <c r="Q34" s="108"/>
      <c r="R34" s="109"/>
      <c r="S34" s="110"/>
      <c r="T34" s="31">
        <f t="shared" si="9"/>
        <v>8.3333333333333329E-2</v>
      </c>
      <c r="U34" s="111"/>
      <c r="V34" s="112"/>
      <c r="W34" s="113"/>
      <c r="X34" s="113"/>
      <c r="Y34" s="111"/>
      <c r="Z34" s="113"/>
      <c r="AA34" s="114"/>
      <c r="AB34" s="180">
        <f t="shared" si="2"/>
        <v>-90</v>
      </c>
      <c r="AC34" s="53"/>
    </row>
    <row r="35" spans="1:29" ht="20.100000000000001" hidden="1" customHeight="1" x14ac:dyDescent="0.25">
      <c r="A35" s="51">
        <f>'03.16 (v2)'!A35</f>
        <v>0</v>
      </c>
      <c r="B35" s="52">
        <f>'03.16 (v2)'!B35</f>
        <v>0</v>
      </c>
      <c r="C35" s="58">
        <f>'03.16 (v2)'!C35</f>
        <v>0</v>
      </c>
      <c r="D35" s="58"/>
      <c r="E35" s="58">
        <f>'03.16 (v2)'!E35</f>
        <v>0</v>
      </c>
      <c r="F35" s="53">
        <f>'03.16 (v2)'!F35</f>
        <v>0</v>
      </c>
      <c r="G35" s="65">
        <f>'03.16 (v2)'!G35</f>
        <v>0</v>
      </c>
      <c r="H35" s="103">
        <f t="shared" si="8"/>
        <v>0</v>
      </c>
      <c r="I35" s="106"/>
      <c r="J35" s="107"/>
      <c r="K35" s="104">
        <f t="shared" si="10"/>
        <v>0</v>
      </c>
      <c r="L35" s="106"/>
      <c r="M35" s="107"/>
      <c r="N35" s="105">
        <f t="shared" si="11"/>
        <v>0</v>
      </c>
      <c r="O35" s="106"/>
      <c r="P35" s="107"/>
      <c r="Q35" s="108"/>
      <c r="R35" s="109"/>
      <c r="S35" s="110"/>
      <c r="T35" s="31">
        <f t="shared" si="9"/>
        <v>8.3333333333333329E-2</v>
      </c>
      <c r="U35" s="111"/>
      <c r="V35" s="112"/>
      <c r="W35" s="113"/>
      <c r="X35" s="113"/>
      <c r="Y35" s="111"/>
      <c r="Z35" s="113"/>
      <c r="AA35" s="114"/>
      <c r="AB35" s="180">
        <f t="shared" si="2"/>
        <v>-90</v>
      </c>
      <c r="AC35" s="53"/>
    </row>
    <row r="36" spans="1:29" ht="20.100000000000001" hidden="1" customHeight="1" x14ac:dyDescent="0.25">
      <c r="A36" s="51">
        <f>'03.16 (v2)'!A36</f>
        <v>0</v>
      </c>
      <c r="B36" s="52">
        <f>'03.16 (v2)'!B36</f>
        <v>0</v>
      </c>
      <c r="C36" s="58">
        <f>'03.16 (v2)'!C36</f>
        <v>0</v>
      </c>
      <c r="D36" s="58"/>
      <c r="E36" s="58">
        <f>'03.16 (v2)'!E36</f>
        <v>0</v>
      </c>
      <c r="F36" s="53">
        <f>'03.16 (v2)'!F36</f>
        <v>0</v>
      </c>
      <c r="G36" s="65">
        <f>'03.16 (v2)'!G36</f>
        <v>0</v>
      </c>
      <c r="H36" s="103">
        <f t="shared" si="8"/>
        <v>0</v>
      </c>
      <c r="I36" s="106"/>
      <c r="J36" s="107"/>
      <c r="K36" s="104">
        <f t="shared" si="10"/>
        <v>0</v>
      </c>
      <c r="L36" s="106"/>
      <c r="M36" s="107"/>
      <c r="N36" s="105">
        <f t="shared" si="11"/>
        <v>0</v>
      </c>
      <c r="O36" s="106"/>
      <c r="P36" s="107"/>
      <c r="Q36" s="108"/>
      <c r="R36" s="109"/>
      <c r="S36" s="110"/>
      <c r="T36" s="31">
        <f t="shared" si="9"/>
        <v>8.3333333333333329E-2</v>
      </c>
      <c r="U36" s="111"/>
      <c r="V36" s="112"/>
      <c r="W36" s="113"/>
      <c r="X36" s="113"/>
      <c r="Y36" s="111"/>
      <c r="Z36" s="113"/>
      <c r="AA36" s="114"/>
      <c r="AB36" s="180">
        <f t="shared" si="2"/>
        <v>-90</v>
      </c>
      <c r="AC36" s="53"/>
    </row>
    <row r="37" spans="1:29" ht="20.100000000000001" hidden="1" customHeight="1" x14ac:dyDescent="0.25">
      <c r="A37" s="51">
        <f>'03.16 (v2)'!A37</f>
        <v>0</v>
      </c>
      <c r="B37" s="52">
        <f>'03.16 (v2)'!B37</f>
        <v>0</v>
      </c>
      <c r="C37" s="58">
        <f>'03.16 (v2)'!C37</f>
        <v>0</v>
      </c>
      <c r="D37" s="58"/>
      <c r="E37" s="58">
        <f>'03.16 (v2)'!E37</f>
        <v>0</v>
      </c>
      <c r="F37" s="53">
        <f>'03.16 (v2)'!F37</f>
        <v>0</v>
      </c>
      <c r="G37" s="65">
        <f>'03.16 (v2)'!G37</f>
        <v>0</v>
      </c>
      <c r="H37" s="103">
        <f t="shared" si="8"/>
        <v>0</v>
      </c>
      <c r="I37" s="106"/>
      <c r="J37" s="107"/>
      <c r="K37" s="104">
        <f t="shared" si="10"/>
        <v>0</v>
      </c>
      <c r="L37" s="106"/>
      <c r="M37" s="107"/>
      <c r="N37" s="105">
        <f t="shared" si="11"/>
        <v>0</v>
      </c>
      <c r="O37" s="106"/>
      <c r="P37" s="107"/>
      <c r="Q37" s="108"/>
      <c r="R37" s="109"/>
      <c r="S37" s="110"/>
      <c r="T37" s="31">
        <f t="shared" si="9"/>
        <v>8.3333333333333329E-2</v>
      </c>
      <c r="U37" s="111"/>
      <c r="V37" s="112"/>
      <c r="W37" s="113"/>
      <c r="X37" s="113"/>
      <c r="Y37" s="111"/>
      <c r="Z37" s="113"/>
      <c r="AA37" s="114"/>
      <c r="AB37" s="180">
        <f t="shared" si="2"/>
        <v>-90</v>
      </c>
      <c r="AC37" s="53"/>
    </row>
    <row r="38" spans="1:29" ht="20.100000000000001" hidden="1" customHeight="1" x14ac:dyDescent="0.25">
      <c r="A38" s="51">
        <f>'03.16 (v2)'!A38</f>
        <v>0</v>
      </c>
      <c r="B38" s="52">
        <f>'03.16 (v2)'!B38</f>
        <v>0</v>
      </c>
      <c r="C38" s="58">
        <f>'03.16 (v2)'!C38</f>
        <v>0</v>
      </c>
      <c r="D38" s="58"/>
      <c r="E38" s="58">
        <f>'03.16 (v2)'!E38</f>
        <v>0</v>
      </c>
      <c r="F38" s="53">
        <f>'03.16 (v2)'!F38</f>
        <v>0</v>
      </c>
      <c r="G38" s="65">
        <f>'03.16 (v2)'!G38</f>
        <v>0</v>
      </c>
      <c r="H38" s="103">
        <f t="shared" si="8"/>
        <v>0</v>
      </c>
      <c r="I38" s="106"/>
      <c r="J38" s="107"/>
      <c r="K38" s="104">
        <f t="shared" si="10"/>
        <v>0</v>
      </c>
      <c r="L38" s="106"/>
      <c r="M38" s="107"/>
      <c r="N38" s="105">
        <f t="shared" si="11"/>
        <v>0</v>
      </c>
      <c r="O38" s="106"/>
      <c r="P38" s="107"/>
      <c r="Q38" s="108"/>
      <c r="R38" s="109"/>
      <c r="S38" s="110"/>
      <c r="T38" s="31">
        <f t="shared" si="9"/>
        <v>8.3333333333333329E-2</v>
      </c>
      <c r="U38" s="111"/>
      <c r="V38" s="112"/>
      <c r="W38" s="113"/>
      <c r="X38" s="113"/>
      <c r="Y38" s="111"/>
      <c r="Z38" s="113"/>
      <c r="AA38" s="114"/>
      <c r="AB38" s="180">
        <f t="shared" si="2"/>
        <v>-90</v>
      </c>
      <c r="AC38" s="53"/>
    </row>
    <row r="39" spans="1:29" ht="19.5" hidden="1" customHeight="1" x14ac:dyDescent="0.25">
      <c r="A39" s="70">
        <v>0.41666666666666669</v>
      </c>
      <c r="B39" s="71" t="s">
        <v>25</v>
      </c>
      <c r="C39" s="72">
        <v>25</v>
      </c>
      <c r="D39" s="72"/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8" t="s">
        <v>10</v>
      </c>
      <c r="V39" s="269" t="s">
        <v>10</v>
      </c>
      <c r="W39" s="257" t="s">
        <v>10</v>
      </c>
      <c r="X39" s="257" t="s">
        <v>10</v>
      </c>
      <c r="Y39" s="268" t="s">
        <v>10</v>
      </c>
      <c r="Z39" s="257" t="s">
        <v>10</v>
      </c>
      <c r="AA39" s="270" t="s">
        <v>10</v>
      </c>
      <c r="AB39" s="180" t="e">
        <f t="shared" si="2"/>
        <v>#VALUE!</v>
      </c>
      <c r="AC39" s="73" t="s">
        <v>27</v>
      </c>
    </row>
    <row r="40" spans="1:29" ht="19.5" hidden="1" customHeight="1" x14ac:dyDescent="0.25">
      <c r="A40" s="70">
        <v>0.41666666666666669</v>
      </c>
      <c r="B40" s="71" t="s">
        <v>25</v>
      </c>
      <c r="C40" s="72">
        <v>24</v>
      </c>
      <c r="D40" s="72"/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8" t="s">
        <v>10</v>
      </c>
      <c r="V40" s="269" t="s">
        <v>10</v>
      </c>
      <c r="W40" s="257" t="s">
        <v>10</v>
      </c>
      <c r="X40" s="257" t="s">
        <v>10</v>
      </c>
      <c r="Y40" s="268" t="s">
        <v>10</v>
      </c>
      <c r="Z40" s="257" t="s">
        <v>10</v>
      </c>
      <c r="AA40" s="270" t="s">
        <v>10</v>
      </c>
      <c r="AB40" s="180" t="e">
        <f t="shared" si="2"/>
        <v>#VALUE!</v>
      </c>
      <c r="AC40" s="73" t="s">
        <v>29</v>
      </c>
    </row>
    <row r="41" spans="1:29" ht="19.5" hidden="1" customHeight="1" x14ac:dyDescent="0.25">
      <c r="A41" s="70">
        <v>0.41666666666666669</v>
      </c>
      <c r="B41" s="71" t="s">
        <v>25</v>
      </c>
      <c r="C41" s="72">
        <v>24</v>
      </c>
      <c r="D41" s="72"/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8" t="s">
        <v>10</v>
      </c>
      <c r="V41" s="269" t="s">
        <v>10</v>
      </c>
      <c r="W41" s="257" t="s">
        <v>10</v>
      </c>
      <c r="X41" s="257" t="s">
        <v>10</v>
      </c>
      <c r="Y41" s="268" t="s">
        <v>10</v>
      </c>
      <c r="Z41" s="257" t="s">
        <v>10</v>
      </c>
      <c r="AA41" s="270" t="s">
        <v>10</v>
      </c>
      <c r="AB41" s="180" t="e">
        <f t="shared" si="2"/>
        <v>#VALUE!</v>
      </c>
      <c r="AC41" s="73" t="s">
        <v>30</v>
      </c>
    </row>
    <row r="42" spans="1:29" ht="19.5" hidden="1" customHeight="1" x14ac:dyDescent="0.25">
      <c r="A42" s="70">
        <v>0.5</v>
      </c>
      <c r="B42" s="71" t="s">
        <v>32</v>
      </c>
      <c r="C42" s="72">
        <v>36</v>
      </c>
      <c r="D42" s="72"/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8" t="s">
        <v>10</v>
      </c>
      <c r="V42" s="269" t="s">
        <v>10</v>
      </c>
      <c r="W42" s="257" t="s">
        <v>10</v>
      </c>
      <c r="X42" s="257" t="s">
        <v>10</v>
      </c>
      <c r="Y42" s="268" t="s">
        <v>10</v>
      </c>
      <c r="Z42" s="257" t="s">
        <v>10</v>
      </c>
      <c r="AA42" s="270" t="s">
        <v>10</v>
      </c>
      <c r="AB42" s="180" t="e">
        <f t="shared" si="2"/>
        <v>#VALUE!</v>
      </c>
      <c r="AC42" s="73" t="s">
        <v>33</v>
      </c>
    </row>
    <row r="43" spans="1:29" ht="19.5" hidden="1" customHeight="1" x14ac:dyDescent="0.25">
      <c r="A43" s="70">
        <v>0.5</v>
      </c>
      <c r="B43" s="71" t="s">
        <v>32</v>
      </c>
      <c r="C43" s="72">
        <v>36</v>
      </c>
      <c r="D43" s="72"/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8" t="s">
        <v>10</v>
      </c>
      <c r="V43" s="269" t="s">
        <v>10</v>
      </c>
      <c r="W43" s="257" t="s">
        <v>10</v>
      </c>
      <c r="X43" s="257" t="s">
        <v>10</v>
      </c>
      <c r="Y43" s="268" t="s">
        <v>10</v>
      </c>
      <c r="Z43" s="257" t="s">
        <v>10</v>
      </c>
      <c r="AA43" s="270" t="s">
        <v>10</v>
      </c>
      <c r="AB43" s="180" t="e">
        <f t="shared" si="2"/>
        <v>#VALUE!</v>
      </c>
      <c r="AC43" s="73" t="s">
        <v>34</v>
      </c>
    </row>
    <row r="44" spans="1:29" ht="19.5" hidden="1" customHeight="1" x14ac:dyDescent="0.25">
      <c r="A44" s="70">
        <v>0.5</v>
      </c>
      <c r="B44" s="71" t="s">
        <v>32</v>
      </c>
      <c r="C44" s="72">
        <v>36</v>
      </c>
      <c r="D44" s="72"/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8" t="s">
        <v>10</v>
      </c>
      <c r="V44" s="269" t="s">
        <v>10</v>
      </c>
      <c r="W44" s="257" t="s">
        <v>10</v>
      </c>
      <c r="X44" s="257" t="s">
        <v>10</v>
      </c>
      <c r="Y44" s="268" t="s">
        <v>10</v>
      </c>
      <c r="Z44" s="257" t="s">
        <v>10</v>
      </c>
      <c r="AA44" s="270" t="s">
        <v>10</v>
      </c>
      <c r="AB44" s="180" t="e">
        <f t="shared" si="2"/>
        <v>#VALUE!</v>
      </c>
      <c r="AC44" s="73" t="s">
        <v>35</v>
      </c>
    </row>
    <row r="45" spans="1:29" ht="20.100000000000001" hidden="1" customHeight="1" x14ac:dyDescent="0.25">
      <c r="A45" s="83" t="s">
        <v>36</v>
      </c>
      <c r="B45" s="84" t="s">
        <v>37</v>
      </c>
      <c r="C45" s="85">
        <v>100</v>
      </c>
      <c r="D45" s="85"/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7" t="s">
        <v>10</v>
      </c>
      <c r="R45" s="267" t="s">
        <v>10</v>
      </c>
      <c r="S45" s="267" t="s">
        <v>10</v>
      </c>
      <c r="T45" s="93" t="s">
        <v>10</v>
      </c>
      <c r="U45" s="271" t="s">
        <v>10</v>
      </c>
      <c r="V45" s="272" t="s">
        <v>10</v>
      </c>
      <c r="W45" s="250" t="s">
        <v>10</v>
      </c>
      <c r="X45" s="250" t="s">
        <v>10</v>
      </c>
      <c r="Y45" s="271" t="s">
        <v>10</v>
      </c>
      <c r="Z45" s="250" t="s">
        <v>10</v>
      </c>
      <c r="AA45" s="273" t="s">
        <v>10</v>
      </c>
      <c r="AB45" s="180" t="e">
        <f t="shared" si="2"/>
        <v>#VALUE!</v>
      </c>
      <c r="AC45" s="87" t="s">
        <v>38</v>
      </c>
    </row>
    <row r="46" spans="1:29" ht="30" hidden="1" customHeight="1" x14ac:dyDescent="0.25">
      <c r="A46" s="59"/>
      <c r="B46" s="60"/>
      <c r="C46" s="61"/>
      <c r="D46" s="61"/>
      <c r="E46" s="62"/>
      <c r="F46" s="63"/>
      <c r="G46" s="64"/>
      <c r="H46" s="103">
        <f>IF(ISBLANK(J46),0,(J46-I46+1))</f>
        <v>0</v>
      </c>
      <c r="I46" s="277"/>
      <c r="J46" s="278"/>
      <c r="K46" s="104">
        <f>IF(ISBLANK(M46),0,(M46-L46+1))</f>
        <v>0</v>
      </c>
      <c r="L46" s="277"/>
      <c r="M46" s="278"/>
      <c r="N46" s="105">
        <f>IF(ISBLANK(P46),0,(P46-O46+1))</f>
        <v>0</v>
      </c>
      <c r="O46" s="277"/>
      <c r="P46" s="278"/>
      <c r="Q46" s="108"/>
      <c r="R46" s="109"/>
      <c r="S46" s="110"/>
      <c r="T46" s="13" t="s">
        <v>10</v>
      </c>
      <c r="U46" s="274" t="s">
        <v>10</v>
      </c>
      <c r="V46" s="190" t="s">
        <v>10</v>
      </c>
      <c r="W46" s="275" t="s">
        <v>10</v>
      </c>
      <c r="X46" s="275" t="s">
        <v>10</v>
      </c>
      <c r="Y46" s="274" t="s">
        <v>10</v>
      </c>
      <c r="Z46" s="275" t="s">
        <v>10</v>
      </c>
      <c r="AA46" s="276" t="s">
        <v>10</v>
      </c>
      <c r="AB46" s="180">
        <f t="shared" si="2"/>
        <v>-90</v>
      </c>
      <c r="AC46" s="63"/>
    </row>
    <row r="47" spans="1:29" ht="5.25" customHeight="1" thickBot="1" x14ac:dyDescent="0.3">
      <c r="A47" s="2"/>
      <c r="B47" s="6"/>
      <c r="C47" s="55"/>
      <c r="D47" s="56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420" t="str">
        <f>H2</f>
        <v># Shot</v>
      </c>
      <c r="K48" s="439" t="str">
        <f>K2</f>
        <v># Shot</v>
      </c>
      <c r="N48" s="423" t="str">
        <f>N2</f>
        <v># Shot</v>
      </c>
      <c r="Q48" s="426" t="s">
        <v>9</v>
      </c>
      <c r="R48" s="427"/>
      <c r="S48" s="428"/>
      <c r="U48" s="429" t="str">
        <f t="shared" ref="U48:AA48" si="12">U2</f>
        <v>Bypass</v>
      </c>
      <c r="V48" s="432" t="str">
        <f t="shared" si="12"/>
        <v>No Show</v>
      </c>
      <c r="W48" s="444" t="str">
        <f t="shared" si="12"/>
        <v>Decline</v>
      </c>
      <c r="X48" s="444" t="str">
        <f t="shared" si="12"/>
        <v>Xtra Sheets</v>
      </c>
      <c r="Y48" s="429" t="str">
        <f t="shared" si="12"/>
        <v>Digital</v>
      </c>
      <c r="Z48" s="444" t="str">
        <f t="shared" si="12"/>
        <v>Stolen</v>
      </c>
      <c r="AA48" s="418" t="str">
        <f t="shared" si="12"/>
        <v># Sales 
(if known)</v>
      </c>
      <c r="AC48" s="22"/>
    </row>
    <row r="49" spans="5:27" ht="15.75" customHeight="1" x14ac:dyDescent="0.25">
      <c r="G49" s="49"/>
      <c r="H49" s="421"/>
      <c r="K49" s="440"/>
      <c r="N49" s="424"/>
      <c r="Q49" s="459" t="str">
        <f>Q3</f>
        <v>Green 
Screen</v>
      </c>
      <c r="R49" s="442" t="str">
        <f>R3</f>
        <v>Star</v>
      </c>
      <c r="S49" s="461" t="str">
        <f>S3</f>
        <v>Private</v>
      </c>
      <c r="U49" s="430"/>
      <c r="V49" s="433"/>
      <c r="W49" s="445"/>
      <c r="X49" s="445"/>
      <c r="Y49" s="430"/>
      <c r="Z49" s="445"/>
      <c r="AA49" s="457"/>
    </row>
    <row r="50" spans="5:27" ht="15.75" customHeight="1" thickBot="1" x14ac:dyDescent="0.3">
      <c r="G50" s="49"/>
      <c r="H50" s="422"/>
      <c r="K50" s="441"/>
      <c r="N50" s="425"/>
      <c r="Q50" s="460"/>
      <c r="R50" s="443"/>
      <c r="S50" s="462"/>
      <c r="U50" s="431"/>
      <c r="V50" s="434"/>
      <c r="W50" s="446"/>
      <c r="X50" s="446"/>
      <c r="Y50" s="431"/>
      <c r="Z50" s="446"/>
      <c r="AA50" s="458"/>
    </row>
    <row r="51" spans="5:27" ht="37.5" customHeight="1" thickBot="1" x14ac:dyDescent="0.3">
      <c r="G51" s="49"/>
      <c r="H51" s="115">
        <f>SUM(H4:H47)</f>
        <v>212</v>
      </c>
      <c r="K51" s="115">
        <f>SUM(K4:K47)</f>
        <v>0</v>
      </c>
      <c r="N51" s="115">
        <f>SUM(N4:N47)</f>
        <v>25</v>
      </c>
      <c r="Q51" s="115">
        <f>SUM(Q4:Q47)</f>
        <v>203</v>
      </c>
      <c r="R51" s="115">
        <f>SUM(R4:R47)</f>
        <v>0</v>
      </c>
      <c r="S51" s="115">
        <f>SUM(S4:S47)</f>
        <v>5</v>
      </c>
      <c r="U51" s="116">
        <f t="shared" ref="U51:AA51" si="13">SUM(U4:U47)</f>
        <v>0</v>
      </c>
      <c r="V51" s="117">
        <f t="shared" si="13"/>
        <v>35</v>
      </c>
      <c r="W51" s="118">
        <f t="shared" si="13"/>
        <v>42</v>
      </c>
      <c r="X51" s="118">
        <f t="shared" si="13"/>
        <v>15</v>
      </c>
      <c r="Y51" s="116">
        <f t="shared" si="13"/>
        <v>0</v>
      </c>
      <c r="Z51" s="118">
        <f t="shared" si="13"/>
        <v>3</v>
      </c>
      <c r="AA51" s="117">
        <f t="shared" si="13"/>
        <v>120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237</v>
      </c>
      <c r="I54" s="454" t="s">
        <v>41</v>
      </c>
      <c r="J54" s="455"/>
      <c r="P54" s="141">
        <f>Q51+R51+S51</f>
        <v>208</v>
      </c>
      <c r="Q54" s="454" t="s">
        <v>42</v>
      </c>
      <c r="R54" s="456"/>
      <c r="S54" s="455"/>
      <c r="U54" s="142">
        <f>SUM(U51:X51)</f>
        <v>92</v>
      </c>
      <c r="V54" s="454" t="s">
        <v>43</v>
      </c>
      <c r="W54" s="456"/>
      <c r="X54" s="455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AB2:AB3"/>
    <mergeCell ref="AA2:AA3"/>
    <mergeCell ref="A1:G2"/>
    <mergeCell ref="H1:P1"/>
    <mergeCell ref="H2:H3"/>
    <mergeCell ref="I2:J2"/>
    <mergeCell ref="K2:K3"/>
    <mergeCell ref="L2:M2"/>
    <mergeCell ref="N2:N3"/>
    <mergeCell ref="O2:P2"/>
    <mergeCell ref="Q2:S2"/>
    <mergeCell ref="U2:U3"/>
    <mergeCell ref="V2:V3"/>
    <mergeCell ref="W2:W3"/>
    <mergeCell ref="X2:X3"/>
    <mergeCell ref="Y2:Y3"/>
    <mergeCell ref="Z2:Z3"/>
    <mergeCell ref="AA48:AA50"/>
    <mergeCell ref="Q49:Q50"/>
    <mergeCell ref="R49:R50"/>
    <mergeCell ref="S49:S50"/>
    <mergeCell ref="V48:V50"/>
    <mergeCell ref="Y48:Y50"/>
    <mergeCell ref="Z48:Z50"/>
    <mergeCell ref="H48:H50"/>
    <mergeCell ref="K48:K50"/>
    <mergeCell ref="N48:N50"/>
    <mergeCell ref="Q48:S48"/>
    <mergeCell ref="U48:U50"/>
    <mergeCell ref="I54:J54"/>
    <mergeCell ref="V54:X54"/>
    <mergeCell ref="W48:W50"/>
    <mergeCell ref="X48:X50"/>
    <mergeCell ref="Q54:S54"/>
  </mergeCells>
  <conditionalFormatting sqref="F7:F10">
    <cfRule type="cellIs" dxfId="19" priority="12" stopIfTrue="1" operator="greaterThan">
      <formula>0.75</formula>
    </cfRule>
    <cfRule type="cellIs" dxfId="18" priority="13" stopIfTrue="1" operator="greaterThan">
      <formula>0.4</formula>
    </cfRule>
    <cfRule type="cellIs" dxfId="17" priority="14" operator="lessThan">
      <formula>0.4</formula>
    </cfRule>
  </conditionalFormatting>
  <conditionalFormatting sqref="F12:F14">
    <cfRule type="cellIs" dxfId="16" priority="18" stopIfTrue="1" operator="greaterThan">
      <formula>0.75</formula>
    </cfRule>
    <cfRule type="cellIs" dxfId="15" priority="19" stopIfTrue="1" operator="greaterThan">
      <formula>0.4</formula>
    </cfRule>
    <cfRule type="cellIs" dxfId="14" priority="20" operator="lessThan">
      <formula>0.4</formula>
    </cfRule>
  </conditionalFormatting>
  <conditionalFormatting sqref="F16">
    <cfRule type="cellIs" dxfId="13" priority="15" stopIfTrue="1" operator="greaterThan">
      <formula>0.75</formula>
    </cfRule>
    <cfRule type="cellIs" dxfId="12" priority="16" stopIfTrue="1" operator="greaterThan">
      <formula>0.4</formula>
    </cfRule>
    <cfRule type="cellIs" dxfId="11" priority="17" operator="lessThan">
      <formula>0.4</formula>
    </cfRule>
  </conditionalFormatting>
  <conditionalFormatting sqref="F18:F22">
    <cfRule type="cellIs" dxfId="10" priority="9" stopIfTrue="1" operator="greaterThan">
      <formula>0.75</formula>
    </cfRule>
    <cfRule type="cellIs" dxfId="9" priority="10" stopIfTrue="1" operator="greaterThan">
      <formula>0.4</formula>
    </cfRule>
    <cfRule type="cellIs" dxfId="8" priority="11" operator="lessThan">
      <formula>0.4</formula>
    </cfRule>
  </conditionalFormatting>
  <conditionalFormatting sqref="AB2 AB4:AB46">
    <cfRule type="cellIs" dxfId="7" priority="1" stopIfTrue="1" operator="equal">
      <formula>-90</formula>
    </cfRule>
  </conditionalFormatting>
  <conditionalFormatting sqref="AB4:AB46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J44"/>
  <sheetViews>
    <sheetView tabSelected="1" zoomScale="80" zoomScaleNormal="80" workbookViewId="0">
      <selection activeCell="AJ42" sqref="AJ42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40" customWidth="1"/>
    <col min="10" max="10" width="3.28515625" style="214" bestFit="1" customWidth="1"/>
    <col min="11" max="11" width="7.5703125" style="241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2" customWidth="1"/>
    <col min="22" max="22" width="16.5703125" style="242" customWidth="1"/>
    <col min="23" max="24" width="4.140625" style="214" bestFit="1" customWidth="1"/>
    <col min="25" max="25" width="2.28515625" style="214" bestFit="1" customWidth="1"/>
    <col min="26" max="28" width="4.140625" style="214" bestFit="1" customWidth="1"/>
    <col min="29" max="29" width="2.28515625" style="214" bestFit="1" customWidth="1"/>
    <col min="30" max="31" width="4.140625" style="214" bestFit="1" customWidth="1"/>
    <col min="32" max="32" width="6.28515625" style="214" customWidth="1"/>
    <col min="33" max="33" width="2.28515625" style="214" bestFit="1" customWidth="1"/>
    <col min="34" max="34" width="6.28515625" style="214" customWidth="1"/>
    <col min="35" max="35" width="4.140625" style="214" bestFit="1" customWidth="1"/>
    <col min="36" max="36" width="7.85546875" bestFit="1" customWidth="1"/>
  </cols>
  <sheetData>
    <row r="1" spans="1:36" s="157" customFormat="1" ht="66.75" x14ac:dyDescent="0.25">
      <c r="A1" s="143">
        <v>45367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3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468" t="s">
        <v>57</v>
      </c>
      <c r="S1" s="469"/>
      <c r="T1" s="469"/>
      <c r="U1" s="469"/>
      <c r="V1" s="469"/>
      <c r="W1" s="245" t="s">
        <v>58</v>
      </c>
      <c r="X1" s="369" t="s">
        <v>157</v>
      </c>
      <c r="Y1" s="370"/>
      <c r="Z1" s="371" t="s">
        <v>158</v>
      </c>
      <c r="AA1" s="372" t="s">
        <v>59</v>
      </c>
      <c r="AB1" s="373" t="s">
        <v>157</v>
      </c>
      <c r="AC1" s="374"/>
      <c r="AD1" s="375" t="s">
        <v>158</v>
      </c>
      <c r="AE1" s="376" t="s">
        <v>60</v>
      </c>
      <c r="AF1" s="377" t="s">
        <v>157</v>
      </c>
      <c r="AG1" s="378"/>
      <c r="AH1" s="379" t="s">
        <v>158</v>
      </c>
      <c r="AI1" s="380" t="s">
        <v>159</v>
      </c>
    </row>
    <row r="2" spans="1:36" ht="7.5" customHeight="1" thickBot="1" x14ac:dyDescent="0.3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470"/>
      <c r="S2" s="471"/>
      <c r="T2" s="471"/>
      <c r="U2" s="471"/>
      <c r="V2" s="471"/>
      <c r="W2" s="247"/>
      <c r="X2" s="381"/>
      <c r="Y2" s="382"/>
      <c r="Z2" s="383"/>
      <c r="AA2" s="247"/>
      <c r="AB2" s="381"/>
      <c r="AC2" s="382"/>
      <c r="AD2" s="383"/>
      <c r="AE2" s="247"/>
      <c r="AF2" s="381"/>
      <c r="AG2" s="382"/>
      <c r="AH2" s="383"/>
      <c r="AI2" s="247"/>
    </row>
    <row r="3" spans="1:36" s="187" customFormat="1" ht="30.75" customHeight="1" x14ac:dyDescent="0.25">
      <c r="A3" s="244">
        <v>0.41666666666666669</v>
      </c>
      <c r="B3" s="255" t="s">
        <v>80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472" t="s">
        <v>135</v>
      </c>
      <c r="S3" s="473"/>
      <c r="T3" s="473"/>
      <c r="U3" s="473"/>
      <c r="V3" s="474"/>
      <c r="W3" s="191">
        <v>50</v>
      </c>
      <c r="X3" s="384" t="s">
        <v>10</v>
      </c>
      <c r="Y3" s="385" t="s">
        <v>10</v>
      </c>
      <c r="Z3" s="386" t="s">
        <v>10</v>
      </c>
      <c r="AA3" s="387" t="s">
        <v>10</v>
      </c>
      <c r="AB3" s="388" t="s">
        <v>10</v>
      </c>
      <c r="AC3" s="389" t="s">
        <v>10</v>
      </c>
      <c r="AD3" s="390" t="s">
        <v>10</v>
      </c>
      <c r="AE3" s="391" t="s">
        <v>10</v>
      </c>
      <c r="AF3" s="392" t="s">
        <v>10</v>
      </c>
      <c r="AG3" s="393" t="s">
        <v>10</v>
      </c>
      <c r="AH3" s="394" t="s">
        <v>10</v>
      </c>
      <c r="AI3" s="395" t="s">
        <v>10</v>
      </c>
    </row>
    <row r="4" spans="1:36" s="187" customFormat="1" ht="30.75" customHeight="1" x14ac:dyDescent="0.25">
      <c r="A4" s="244">
        <v>0.41666666666666669</v>
      </c>
      <c r="B4" s="255" t="s">
        <v>3</v>
      </c>
      <c r="C4" s="188" t="s">
        <v>10</v>
      </c>
      <c r="D4" s="189" t="s">
        <v>10</v>
      </c>
      <c r="E4" s="176" t="s">
        <v>10</v>
      </c>
      <c r="F4" s="190" t="s">
        <v>10</v>
      </c>
      <c r="G4" s="191" t="s">
        <v>10</v>
      </c>
      <c r="H4" s="178" t="s">
        <v>10</v>
      </c>
      <c r="I4" s="192" t="s">
        <v>10</v>
      </c>
      <c r="J4" s="180" t="e">
        <f>IF(ISBLANK(I4),-90,(-((I4)-SUM(L4:Q4,K4))))</f>
        <v>#VALUE!</v>
      </c>
      <c r="K4" s="193" t="s">
        <v>10</v>
      </c>
      <c r="L4" s="194" t="s">
        <v>10</v>
      </c>
      <c r="M4" s="195" t="s">
        <v>10</v>
      </c>
      <c r="N4" s="196" t="s">
        <v>10</v>
      </c>
      <c r="O4" s="197" t="s">
        <v>10</v>
      </c>
      <c r="P4" s="194" t="s">
        <v>10</v>
      </c>
      <c r="Q4" s="198" t="s">
        <v>10</v>
      </c>
      <c r="R4" s="475" t="s">
        <v>136</v>
      </c>
      <c r="S4" s="476"/>
      <c r="T4" s="476"/>
      <c r="U4" s="476"/>
      <c r="V4" s="477"/>
      <c r="W4" s="191">
        <v>20</v>
      </c>
      <c r="X4" s="384" t="s">
        <v>10</v>
      </c>
      <c r="Y4" s="385" t="s">
        <v>10</v>
      </c>
      <c r="Z4" s="386" t="s">
        <v>10</v>
      </c>
      <c r="AA4" s="387" t="s">
        <v>10</v>
      </c>
      <c r="AB4" s="388" t="s">
        <v>10</v>
      </c>
      <c r="AC4" s="389" t="s">
        <v>10</v>
      </c>
      <c r="AD4" s="390" t="s">
        <v>10</v>
      </c>
      <c r="AE4" s="391" t="s">
        <v>10</v>
      </c>
      <c r="AF4" s="392" t="s">
        <v>10</v>
      </c>
      <c r="AG4" s="393" t="s">
        <v>10</v>
      </c>
      <c r="AH4" s="394" t="s">
        <v>10</v>
      </c>
      <c r="AI4" s="395" t="s">
        <v>10</v>
      </c>
    </row>
    <row r="5" spans="1:36" s="187" customFormat="1" ht="26.25" customHeight="1" x14ac:dyDescent="0.25">
      <c r="A5" s="173">
        <v>0.41666666666666669</v>
      </c>
      <c r="B5" s="256" t="s">
        <v>85</v>
      </c>
      <c r="C5" s="174">
        <v>3672</v>
      </c>
      <c r="D5" s="175">
        <v>3692</v>
      </c>
      <c r="E5" s="176">
        <f t="shared" ref="E5:E34" si="0">IF(ISBLANK(D5),0,(D5-C5+1))</f>
        <v>21</v>
      </c>
      <c r="F5" s="177">
        <v>1</v>
      </c>
      <c r="G5" s="177">
        <v>1</v>
      </c>
      <c r="H5" s="178">
        <f t="shared" ref="H5:H34" si="1">E5-G5-F5</f>
        <v>19</v>
      </c>
      <c r="I5" s="266">
        <f>19+1</f>
        <v>20</v>
      </c>
      <c r="J5" s="180">
        <f t="shared" ref="J5:J34" si="2">IF(ISBLANK(I5),-90,(-((I5)-SUM(L5:Q5,K5))))</f>
        <v>2</v>
      </c>
      <c r="K5" s="181">
        <f>10+2</f>
        <v>12</v>
      </c>
      <c r="L5" s="182">
        <v>0</v>
      </c>
      <c r="M5" s="183">
        <v>0</v>
      </c>
      <c r="N5" s="184">
        <v>9</v>
      </c>
      <c r="O5" s="185">
        <v>1</v>
      </c>
      <c r="P5" s="182">
        <v>0</v>
      </c>
      <c r="Q5" s="186">
        <v>0</v>
      </c>
      <c r="R5" s="465" t="s">
        <v>156</v>
      </c>
      <c r="S5" s="466"/>
      <c r="T5" s="466"/>
      <c r="U5" s="466"/>
      <c r="V5" s="467"/>
      <c r="W5" s="183" t="s">
        <v>10</v>
      </c>
      <c r="X5" s="384">
        <v>9</v>
      </c>
      <c r="Y5" s="385" t="s">
        <v>160</v>
      </c>
      <c r="Z5" s="386">
        <v>2</v>
      </c>
      <c r="AA5" s="387">
        <f t="shared" ref="AA5:AA8" si="3">X5+Z5</f>
        <v>11</v>
      </c>
      <c r="AB5" s="388">
        <v>1</v>
      </c>
      <c r="AC5" s="389" t="s">
        <v>160</v>
      </c>
      <c r="AD5" s="390">
        <v>0</v>
      </c>
      <c r="AE5" s="391">
        <f t="shared" ref="AE5:AE36" si="4">AB5+AD5</f>
        <v>1</v>
      </c>
      <c r="AF5" s="392">
        <f t="shared" ref="AF5:AF36" si="5">X5+AB5</f>
        <v>10</v>
      </c>
      <c r="AG5" s="393" t="s">
        <v>160</v>
      </c>
      <c r="AH5" s="394">
        <f t="shared" ref="AH5:AH19" si="6">Z5+AD5</f>
        <v>2</v>
      </c>
      <c r="AI5" s="395">
        <f t="shared" ref="AI5:AI36" si="7">AF5+AH5</f>
        <v>12</v>
      </c>
      <c r="AJ5" s="504" t="s">
        <v>145</v>
      </c>
    </row>
    <row r="6" spans="1:36" s="187" customFormat="1" ht="26.25" customHeight="1" x14ac:dyDescent="0.25">
      <c r="A6" s="173">
        <v>0.4375</v>
      </c>
      <c r="B6" s="256" t="s">
        <v>122</v>
      </c>
      <c r="C6" s="174">
        <v>3693</v>
      </c>
      <c r="D6" s="175">
        <v>3709</v>
      </c>
      <c r="E6" s="176">
        <f>IF(ISBLANK(D6),0,(D6-C6+1))+3</f>
        <v>20</v>
      </c>
      <c r="F6" s="177">
        <v>0</v>
      </c>
      <c r="G6" s="177">
        <f>4+2</f>
        <v>6</v>
      </c>
      <c r="H6" s="178">
        <f t="shared" si="1"/>
        <v>14</v>
      </c>
      <c r="I6" s="266">
        <f>14+6</f>
        <v>20</v>
      </c>
      <c r="J6" s="180">
        <f t="shared" si="2"/>
        <v>0</v>
      </c>
      <c r="K6" s="181">
        <v>7</v>
      </c>
      <c r="L6" s="182">
        <v>0</v>
      </c>
      <c r="M6" s="183">
        <v>7</v>
      </c>
      <c r="N6" s="184">
        <v>0</v>
      </c>
      <c r="O6" s="185">
        <v>6</v>
      </c>
      <c r="P6" s="182">
        <v>0</v>
      </c>
      <c r="Q6" s="186">
        <v>0</v>
      </c>
      <c r="R6" s="465" t="s">
        <v>143</v>
      </c>
      <c r="S6" s="466"/>
      <c r="T6" s="466"/>
      <c r="U6" s="466"/>
      <c r="V6" s="467"/>
      <c r="W6" s="183" t="s">
        <v>10</v>
      </c>
      <c r="X6" s="384">
        <v>2</v>
      </c>
      <c r="Y6" s="385" t="s">
        <v>160</v>
      </c>
      <c r="Z6" s="386">
        <v>0</v>
      </c>
      <c r="AA6" s="387">
        <f t="shared" si="3"/>
        <v>2</v>
      </c>
      <c r="AB6" s="388">
        <v>1</v>
      </c>
      <c r="AC6" s="389" t="s">
        <v>160</v>
      </c>
      <c r="AD6" s="390">
        <v>0</v>
      </c>
      <c r="AE6" s="391">
        <f t="shared" si="4"/>
        <v>1</v>
      </c>
      <c r="AF6" s="392">
        <f t="shared" si="5"/>
        <v>3</v>
      </c>
      <c r="AG6" s="393" t="s">
        <v>160</v>
      </c>
      <c r="AH6" s="394">
        <f t="shared" si="6"/>
        <v>0</v>
      </c>
      <c r="AI6" s="395">
        <f t="shared" si="7"/>
        <v>3</v>
      </c>
      <c r="AJ6" s="504" t="s">
        <v>146</v>
      </c>
    </row>
    <row r="7" spans="1:36" s="187" customFormat="1" ht="26.25" customHeight="1" x14ac:dyDescent="0.25">
      <c r="A7" s="173">
        <v>0.44791666666666669</v>
      </c>
      <c r="B7" s="256" t="s">
        <v>88</v>
      </c>
      <c r="C7" s="174">
        <v>3710</v>
      </c>
      <c r="D7" s="175">
        <v>3724</v>
      </c>
      <c r="E7" s="176">
        <f t="shared" si="0"/>
        <v>15</v>
      </c>
      <c r="F7" s="177">
        <v>0</v>
      </c>
      <c r="G7" s="177">
        <v>2</v>
      </c>
      <c r="H7" s="178">
        <f t="shared" si="1"/>
        <v>13</v>
      </c>
      <c r="I7" s="266">
        <f>13+2</f>
        <v>15</v>
      </c>
      <c r="J7" s="180">
        <f t="shared" si="2"/>
        <v>0</v>
      </c>
      <c r="K7" s="181">
        <v>13</v>
      </c>
      <c r="L7" s="182">
        <v>0</v>
      </c>
      <c r="M7" s="183">
        <v>0</v>
      </c>
      <c r="N7" s="184">
        <v>2</v>
      </c>
      <c r="O7" s="185">
        <v>0</v>
      </c>
      <c r="P7" s="182">
        <v>0</v>
      </c>
      <c r="Q7" s="186">
        <v>0</v>
      </c>
      <c r="R7" s="478"/>
      <c r="S7" s="479"/>
      <c r="T7" s="479"/>
      <c r="U7" s="479"/>
      <c r="V7" s="480"/>
      <c r="W7" s="183" t="s">
        <v>10</v>
      </c>
      <c r="X7" s="384">
        <v>6</v>
      </c>
      <c r="Y7" s="385" t="s">
        <v>160</v>
      </c>
      <c r="Z7" s="386">
        <v>1</v>
      </c>
      <c r="AA7" s="387">
        <f t="shared" si="3"/>
        <v>7</v>
      </c>
      <c r="AB7" s="388">
        <v>8</v>
      </c>
      <c r="AC7" s="389" t="s">
        <v>160</v>
      </c>
      <c r="AD7" s="390">
        <v>3</v>
      </c>
      <c r="AE7" s="391">
        <f t="shared" si="4"/>
        <v>11</v>
      </c>
      <c r="AF7" s="392">
        <f t="shared" si="5"/>
        <v>14</v>
      </c>
      <c r="AG7" s="393" t="s">
        <v>160</v>
      </c>
      <c r="AH7" s="394">
        <f t="shared" si="6"/>
        <v>4</v>
      </c>
      <c r="AI7" s="395">
        <f t="shared" si="7"/>
        <v>18</v>
      </c>
      <c r="AJ7" s="504" t="s">
        <v>147</v>
      </c>
    </row>
    <row r="8" spans="1:36" s="187" customFormat="1" ht="26.25" customHeight="1" x14ac:dyDescent="0.25">
      <c r="A8" s="173">
        <v>0.45833333333333331</v>
      </c>
      <c r="B8" s="256" t="s">
        <v>91</v>
      </c>
      <c r="C8" s="174">
        <v>3725</v>
      </c>
      <c r="D8" s="175">
        <v>3739</v>
      </c>
      <c r="E8" s="176">
        <f t="shared" si="0"/>
        <v>15</v>
      </c>
      <c r="F8" s="177">
        <v>0</v>
      </c>
      <c r="G8" s="177">
        <v>0</v>
      </c>
      <c r="H8" s="178">
        <f t="shared" si="1"/>
        <v>15</v>
      </c>
      <c r="I8" s="266">
        <f>15+0</f>
        <v>15</v>
      </c>
      <c r="J8" s="180">
        <f t="shared" si="2"/>
        <v>0</v>
      </c>
      <c r="K8" s="181">
        <v>7</v>
      </c>
      <c r="L8" s="182">
        <v>0</v>
      </c>
      <c r="M8" s="183">
        <v>5</v>
      </c>
      <c r="N8" s="184">
        <v>3</v>
      </c>
      <c r="O8" s="185">
        <v>0</v>
      </c>
      <c r="P8" s="182">
        <v>0</v>
      </c>
      <c r="Q8" s="186">
        <v>0</v>
      </c>
      <c r="R8" s="478"/>
      <c r="S8" s="479"/>
      <c r="T8" s="479"/>
      <c r="U8" s="479"/>
      <c r="V8" s="480"/>
      <c r="W8" s="183" t="s">
        <v>10</v>
      </c>
      <c r="X8" s="384">
        <v>4</v>
      </c>
      <c r="Y8" s="385" t="s">
        <v>160</v>
      </c>
      <c r="Z8" s="386">
        <v>0</v>
      </c>
      <c r="AA8" s="387">
        <f t="shared" si="3"/>
        <v>4</v>
      </c>
      <c r="AB8" s="388">
        <v>2</v>
      </c>
      <c r="AC8" s="389" t="s">
        <v>160</v>
      </c>
      <c r="AD8" s="390">
        <v>0</v>
      </c>
      <c r="AE8" s="391">
        <f t="shared" si="4"/>
        <v>2</v>
      </c>
      <c r="AF8" s="392">
        <f t="shared" si="5"/>
        <v>6</v>
      </c>
      <c r="AG8" s="393" t="s">
        <v>10</v>
      </c>
      <c r="AH8" s="394">
        <f t="shared" si="6"/>
        <v>0</v>
      </c>
      <c r="AI8" s="395">
        <f t="shared" si="7"/>
        <v>6</v>
      </c>
      <c r="AJ8" s="504" t="s">
        <v>148</v>
      </c>
    </row>
    <row r="9" spans="1:36" s="187" customFormat="1" ht="30.75" customHeight="1" x14ac:dyDescent="0.25">
      <c r="A9" s="244">
        <v>0.45833333333333331</v>
      </c>
      <c r="B9" s="255" t="s">
        <v>92</v>
      </c>
      <c r="C9" s="188" t="s">
        <v>10</v>
      </c>
      <c r="D9" s="189" t="s">
        <v>10</v>
      </c>
      <c r="E9" s="176" t="s">
        <v>10</v>
      </c>
      <c r="F9" s="190" t="s">
        <v>10</v>
      </c>
      <c r="G9" s="191" t="s">
        <v>10</v>
      </c>
      <c r="H9" s="178" t="s">
        <v>10</v>
      </c>
      <c r="I9" s="192" t="s">
        <v>10</v>
      </c>
      <c r="J9" s="180" t="e">
        <f>IF(ISBLANK(I9),-90,(-((I9)-SUM(L9:Q9,K9))))</f>
        <v>#VALUE!</v>
      </c>
      <c r="K9" s="193" t="s">
        <v>10</v>
      </c>
      <c r="L9" s="194" t="s">
        <v>10</v>
      </c>
      <c r="M9" s="195" t="s">
        <v>10</v>
      </c>
      <c r="N9" s="196" t="s">
        <v>10</v>
      </c>
      <c r="O9" s="197" t="s">
        <v>10</v>
      </c>
      <c r="P9" s="194" t="s">
        <v>10</v>
      </c>
      <c r="Q9" s="198" t="s">
        <v>10</v>
      </c>
      <c r="R9" s="475" t="s">
        <v>140</v>
      </c>
      <c r="S9" s="476"/>
      <c r="T9" s="476"/>
      <c r="U9" s="476"/>
      <c r="V9" s="477"/>
      <c r="W9" s="191">
        <v>20</v>
      </c>
      <c r="X9" s="384" t="s">
        <v>10</v>
      </c>
      <c r="Y9" s="385" t="s">
        <v>10</v>
      </c>
      <c r="Z9" s="386" t="s">
        <v>10</v>
      </c>
      <c r="AA9" s="387" t="s">
        <v>10</v>
      </c>
      <c r="AB9" s="388" t="s">
        <v>10</v>
      </c>
      <c r="AC9" s="389" t="s">
        <v>10</v>
      </c>
      <c r="AD9" s="390" t="s">
        <v>10</v>
      </c>
      <c r="AE9" s="391" t="s">
        <v>10</v>
      </c>
      <c r="AF9" s="392" t="s">
        <v>10</v>
      </c>
      <c r="AG9" s="393" t="s">
        <v>10</v>
      </c>
      <c r="AH9" s="394" t="s">
        <v>10</v>
      </c>
      <c r="AI9" s="395" t="s">
        <v>10</v>
      </c>
    </row>
    <row r="10" spans="1:36" s="187" customFormat="1" ht="26.25" customHeight="1" x14ac:dyDescent="0.25">
      <c r="A10" s="173">
        <v>0.47916666666666669</v>
      </c>
      <c r="B10" s="256" t="s">
        <v>93</v>
      </c>
      <c r="C10" s="174">
        <v>3740</v>
      </c>
      <c r="D10" s="175">
        <v>3757</v>
      </c>
      <c r="E10" s="176">
        <f t="shared" si="0"/>
        <v>18</v>
      </c>
      <c r="F10" s="177">
        <v>0</v>
      </c>
      <c r="G10" s="177">
        <v>3</v>
      </c>
      <c r="H10" s="178">
        <f t="shared" si="1"/>
        <v>15</v>
      </c>
      <c r="I10" s="266">
        <f>15+3</f>
        <v>18</v>
      </c>
      <c r="J10" s="180">
        <f t="shared" si="2"/>
        <v>0</v>
      </c>
      <c r="K10" s="181">
        <v>6</v>
      </c>
      <c r="L10" s="182">
        <v>0</v>
      </c>
      <c r="M10" s="183">
        <v>7</v>
      </c>
      <c r="N10" s="184">
        <v>2</v>
      </c>
      <c r="O10" s="185">
        <v>3</v>
      </c>
      <c r="P10" s="182">
        <v>0</v>
      </c>
      <c r="Q10" s="186">
        <v>0</v>
      </c>
      <c r="R10" s="478"/>
      <c r="S10" s="479"/>
      <c r="T10" s="479"/>
      <c r="U10" s="479"/>
      <c r="V10" s="480"/>
      <c r="W10" s="183" t="s">
        <v>10</v>
      </c>
      <c r="X10" s="384">
        <v>3</v>
      </c>
      <c r="Y10" s="385" t="s">
        <v>160</v>
      </c>
      <c r="Z10" s="386">
        <v>0</v>
      </c>
      <c r="AA10" s="387">
        <f t="shared" ref="AA10:AA36" si="8">X10+Z10</f>
        <v>3</v>
      </c>
      <c r="AB10" s="388">
        <v>4</v>
      </c>
      <c r="AC10" s="389" t="s">
        <v>160</v>
      </c>
      <c r="AD10" s="390">
        <v>0</v>
      </c>
      <c r="AE10" s="391">
        <f t="shared" si="4"/>
        <v>4</v>
      </c>
      <c r="AF10" s="392">
        <f t="shared" si="5"/>
        <v>7</v>
      </c>
      <c r="AG10" s="393" t="s">
        <v>160</v>
      </c>
      <c r="AH10" s="394">
        <f t="shared" si="6"/>
        <v>0</v>
      </c>
      <c r="AI10" s="395">
        <f t="shared" si="7"/>
        <v>7</v>
      </c>
      <c r="AJ10" s="504" t="s">
        <v>149</v>
      </c>
    </row>
    <row r="11" spans="1:36" s="187" customFormat="1" ht="26.25" customHeight="1" x14ac:dyDescent="0.25">
      <c r="A11" s="173">
        <v>0.5</v>
      </c>
      <c r="B11" s="256" t="s">
        <v>85</v>
      </c>
      <c r="C11" s="174">
        <v>3758</v>
      </c>
      <c r="D11" s="175">
        <v>3770</v>
      </c>
      <c r="E11" s="176">
        <f t="shared" si="0"/>
        <v>13</v>
      </c>
      <c r="F11" s="177">
        <v>0</v>
      </c>
      <c r="G11" s="177">
        <v>2</v>
      </c>
      <c r="H11" s="178">
        <f t="shared" si="1"/>
        <v>11</v>
      </c>
      <c r="I11" s="266">
        <f>11+2</f>
        <v>13</v>
      </c>
      <c r="J11" s="180">
        <f t="shared" si="2"/>
        <v>9</v>
      </c>
      <c r="K11" s="181">
        <v>16</v>
      </c>
      <c r="L11" s="182">
        <v>0</v>
      </c>
      <c r="M11" s="183">
        <v>0</v>
      </c>
      <c r="N11" s="184">
        <v>5</v>
      </c>
      <c r="O11" s="185">
        <v>1</v>
      </c>
      <c r="P11" s="182">
        <v>0</v>
      </c>
      <c r="Q11" s="186">
        <v>0</v>
      </c>
      <c r="R11" s="465" t="s">
        <v>132</v>
      </c>
      <c r="S11" s="466"/>
      <c r="T11" s="466"/>
      <c r="U11" s="466"/>
      <c r="V11" s="467"/>
      <c r="W11" s="183" t="s">
        <v>10</v>
      </c>
      <c r="X11" s="384">
        <v>4</v>
      </c>
      <c r="Y11" s="385" t="s">
        <v>160</v>
      </c>
      <c r="Z11" s="386">
        <v>1</v>
      </c>
      <c r="AA11" s="387">
        <f t="shared" si="8"/>
        <v>5</v>
      </c>
      <c r="AB11" s="388">
        <v>5</v>
      </c>
      <c r="AC11" s="389" t="s">
        <v>160</v>
      </c>
      <c r="AD11" s="390">
        <f>1+1</f>
        <v>2</v>
      </c>
      <c r="AE11" s="391">
        <f t="shared" si="4"/>
        <v>7</v>
      </c>
      <c r="AF11" s="392">
        <f t="shared" si="5"/>
        <v>9</v>
      </c>
      <c r="AG11" s="393" t="s">
        <v>160</v>
      </c>
      <c r="AH11" s="394">
        <f t="shared" si="6"/>
        <v>3</v>
      </c>
      <c r="AI11" s="395">
        <f t="shared" si="7"/>
        <v>12</v>
      </c>
      <c r="AJ11" s="505" t="s">
        <v>150</v>
      </c>
    </row>
    <row r="12" spans="1:36" s="187" customFormat="1" ht="26.25" customHeight="1" x14ac:dyDescent="0.25">
      <c r="A12" s="173">
        <v>0.52083333333333337</v>
      </c>
      <c r="B12" s="256" t="s">
        <v>80</v>
      </c>
      <c r="C12" s="174">
        <v>3771</v>
      </c>
      <c r="D12" s="175">
        <v>3783</v>
      </c>
      <c r="E12" s="176">
        <f t="shared" si="0"/>
        <v>13</v>
      </c>
      <c r="F12" s="177">
        <v>0</v>
      </c>
      <c r="G12" s="177">
        <v>1</v>
      </c>
      <c r="H12" s="178">
        <f t="shared" si="1"/>
        <v>12</v>
      </c>
      <c r="I12" s="266">
        <f>12+1</f>
        <v>13</v>
      </c>
      <c r="J12" s="180">
        <f t="shared" si="2"/>
        <v>1</v>
      </c>
      <c r="K12" s="181">
        <v>9</v>
      </c>
      <c r="L12" s="182">
        <v>0</v>
      </c>
      <c r="M12" s="183">
        <v>2</v>
      </c>
      <c r="N12" s="184">
        <v>2</v>
      </c>
      <c r="O12" s="185">
        <v>0</v>
      </c>
      <c r="P12" s="182">
        <v>1</v>
      </c>
      <c r="Q12" s="186">
        <v>0</v>
      </c>
      <c r="R12" s="478"/>
      <c r="S12" s="479"/>
      <c r="T12" s="479"/>
      <c r="U12" s="479"/>
      <c r="V12" s="480"/>
      <c r="W12" s="183" t="s">
        <v>10</v>
      </c>
      <c r="X12" s="384">
        <v>3</v>
      </c>
      <c r="Y12" s="385" t="s">
        <v>160</v>
      </c>
      <c r="Z12" s="386">
        <v>0</v>
      </c>
      <c r="AA12" s="387">
        <f t="shared" si="8"/>
        <v>3</v>
      </c>
      <c r="AB12" s="388">
        <v>5</v>
      </c>
      <c r="AC12" s="389" t="s">
        <v>160</v>
      </c>
      <c r="AD12" s="390">
        <f>1+1</f>
        <v>2</v>
      </c>
      <c r="AE12" s="391">
        <f t="shared" si="4"/>
        <v>7</v>
      </c>
      <c r="AF12" s="392">
        <f t="shared" si="5"/>
        <v>8</v>
      </c>
      <c r="AG12" s="393" t="s">
        <v>160</v>
      </c>
      <c r="AH12" s="394">
        <f t="shared" si="6"/>
        <v>2</v>
      </c>
      <c r="AI12" s="395">
        <f t="shared" si="7"/>
        <v>10</v>
      </c>
      <c r="AJ12" s="504" t="s">
        <v>151</v>
      </c>
    </row>
    <row r="13" spans="1:36" s="187" customFormat="1" ht="30.75" customHeight="1" x14ac:dyDescent="0.25">
      <c r="A13" s="244">
        <v>0.52083333333333337</v>
      </c>
      <c r="B13" s="255" t="s">
        <v>120</v>
      </c>
      <c r="C13" s="188" t="s">
        <v>10</v>
      </c>
      <c r="D13" s="189" t="s">
        <v>10</v>
      </c>
      <c r="E13" s="176" t="s">
        <v>10</v>
      </c>
      <c r="F13" s="190" t="s">
        <v>10</v>
      </c>
      <c r="G13" s="191" t="s">
        <v>10</v>
      </c>
      <c r="H13" s="178" t="s">
        <v>10</v>
      </c>
      <c r="I13" s="192" t="s">
        <v>10</v>
      </c>
      <c r="J13" s="180" t="e">
        <f>IF(ISBLANK(I13),-90,(-((I13)-SUM(L13:Q13,K13))))</f>
        <v>#VALUE!</v>
      </c>
      <c r="K13" s="193" t="s">
        <v>10</v>
      </c>
      <c r="L13" s="194" t="s">
        <v>10</v>
      </c>
      <c r="M13" s="195" t="s">
        <v>10</v>
      </c>
      <c r="N13" s="196" t="s">
        <v>10</v>
      </c>
      <c r="O13" s="197" t="s">
        <v>10</v>
      </c>
      <c r="P13" s="194" t="s">
        <v>10</v>
      </c>
      <c r="Q13" s="198" t="s">
        <v>10</v>
      </c>
      <c r="R13" s="475" t="s">
        <v>137</v>
      </c>
      <c r="S13" s="476"/>
      <c r="T13" s="476"/>
      <c r="U13" s="476"/>
      <c r="V13" s="477"/>
      <c r="W13" s="191">
        <v>9</v>
      </c>
      <c r="X13" s="384" t="s">
        <v>10</v>
      </c>
      <c r="Y13" s="385" t="s">
        <v>10</v>
      </c>
      <c r="Z13" s="386" t="s">
        <v>10</v>
      </c>
      <c r="AA13" s="387" t="s">
        <v>10</v>
      </c>
      <c r="AB13" s="388" t="s">
        <v>10</v>
      </c>
      <c r="AC13" s="389" t="s">
        <v>10</v>
      </c>
      <c r="AD13" s="390" t="s">
        <v>10</v>
      </c>
      <c r="AE13" s="391" t="s">
        <v>10</v>
      </c>
      <c r="AF13" s="392" t="s">
        <v>10</v>
      </c>
      <c r="AG13" s="393" t="s">
        <v>10</v>
      </c>
      <c r="AH13" s="394" t="s">
        <v>10</v>
      </c>
      <c r="AI13" s="395" t="s">
        <v>10</v>
      </c>
    </row>
    <row r="14" spans="1:36" s="187" customFormat="1" ht="26.25" customHeight="1" x14ac:dyDescent="0.25">
      <c r="A14" s="173">
        <v>4.1666666666666664E-2</v>
      </c>
      <c r="B14" s="256" t="s">
        <v>96</v>
      </c>
      <c r="C14" s="174">
        <v>3784</v>
      </c>
      <c r="D14" s="175">
        <v>3804</v>
      </c>
      <c r="E14" s="176">
        <f>IF(ISBLANK(D14),0,(D14-C14+1))-3</f>
        <v>18</v>
      </c>
      <c r="F14" s="177">
        <v>2</v>
      </c>
      <c r="G14" s="177">
        <v>3</v>
      </c>
      <c r="H14" s="178">
        <f t="shared" si="1"/>
        <v>13</v>
      </c>
      <c r="I14" s="266">
        <f>13+3</f>
        <v>16</v>
      </c>
      <c r="J14" s="180">
        <f t="shared" si="2"/>
        <v>-1</v>
      </c>
      <c r="K14" s="181">
        <f>10+3</f>
        <v>13</v>
      </c>
      <c r="L14" s="182">
        <v>0</v>
      </c>
      <c r="M14" s="183">
        <v>0</v>
      </c>
      <c r="N14" s="184">
        <v>2</v>
      </c>
      <c r="O14" s="185">
        <v>0</v>
      </c>
      <c r="P14" s="182">
        <v>0</v>
      </c>
      <c r="Q14" s="186">
        <v>0</v>
      </c>
      <c r="R14" s="465" t="s">
        <v>133</v>
      </c>
      <c r="S14" s="466"/>
      <c r="T14" s="466"/>
      <c r="U14" s="466"/>
      <c r="V14" s="467"/>
      <c r="W14" s="183" t="s">
        <v>10</v>
      </c>
      <c r="X14" s="384">
        <v>4</v>
      </c>
      <c r="Y14" s="385" t="s">
        <v>160</v>
      </c>
      <c r="Z14" s="386">
        <v>0</v>
      </c>
      <c r="AA14" s="387">
        <f t="shared" si="8"/>
        <v>4</v>
      </c>
      <c r="AB14" s="388">
        <v>3</v>
      </c>
      <c r="AC14" s="389" t="s">
        <v>160</v>
      </c>
      <c r="AD14" s="390">
        <v>1</v>
      </c>
      <c r="AE14" s="391">
        <f t="shared" si="4"/>
        <v>4</v>
      </c>
      <c r="AF14" s="392">
        <f t="shared" si="5"/>
        <v>7</v>
      </c>
      <c r="AG14" s="393" t="s">
        <v>160</v>
      </c>
      <c r="AH14" s="394">
        <f t="shared" si="6"/>
        <v>1</v>
      </c>
      <c r="AI14" s="395">
        <f t="shared" si="7"/>
        <v>8</v>
      </c>
      <c r="AJ14" s="504" t="s">
        <v>150</v>
      </c>
    </row>
    <row r="15" spans="1:36" s="187" customFormat="1" ht="30.75" customHeight="1" x14ac:dyDescent="0.25">
      <c r="A15" s="244">
        <v>6.25E-2</v>
      </c>
      <c r="B15" s="255" t="s">
        <v>121</v>
      </c>
      <c r="C15" s="188" t="s">
        <v>10</v>
      </c>
      <c r="D15" s="189" t="s">
        <v>10</v>
      </c>
      <c r="E15" s="176" t="s">
        <v>10</v>
      </c>
      <c r="F15" s="190" t="s">
        <v>144</v>
      </c>
      <c r="G15" s="191" t="s">
        <v>10</v>
      </c>
      <c r="H15" s="178" t="s">
        <v>10</v>
      </c>
      <c r="I15" s="192" t="s">
        <v>10</v>
      </c>
      <c r="J15" s="180" t="e">
        <f>IF(ISBLANK(I15),-90,(-((I15)-SUM(L15:Q15,K15))))</f>
        <v>#VALUE!</v>
      </c>
      <c r="K15" s="193" t="s">
        <v>10</v>
      </c>
      <c r="L15" s="194" t="s">
        <v>10</v>
      </c>
      <c r="M15" s="195" t="s">
        <v>10</v>
      </c>
      <c r="N15" s="196" t="s">
        <v>10</v>
      </c>
      <c r="O15" s="197" t="s">
        <v>10</v>
      </c>
      <c r="P15" s="194" t="s">
        <v>10</v>
      </c>
      <c r="Q15" s="198" t="s">
        <v>10</v>
      </c>
      <c r="R15" s="475" t="s">
        <v>138</v>
      </c>
      <c r="S15" s="476"/>
      <c r="T15" s="476"/>
      <c r="U15" s="476"/>
      <c r="V15" s="477"/>
      <c r="W15" s="191">
        <v>52</v>
      </c>
      <c r="X15" s="384" t="s">
        <v>10</v>
      </c>
      <c r="Y15" s="385" t="s">
        <v>10</v>
      </c>
      <c r="Z15" s="386" t="s">
        <v>10</v>
      </c>
      <c r="AA15" s="387" t="s">
        <v>10</v>
      </c>
      <c r="AB15" s="388" t="s">
        <v>10</v>
      </c>
      <c r="AC15" s="389" t="s">
        <v>10</v>
      </c>
      <c r="AD15" s="390" t="s">
        <v>10</v>
      </c>
      <c r="AE15" s="391" t="s">
        <v>10</v>
      </c>
      <c r="AF15" s="392" t="s">
        <v>10</v>
      </c>
      <c r="AG15" s="393" t="s">
        <v>10</v>
      </c>
      <c r="AH15" s="394" t="s">
        <v>10</v>
      </c>
      <c r="AI15" s="395" t="s">
        <v>10</v>
      </c>
    </row>
    <row r="16" spans="1:36" s="187" customFormat="1" ht="26.25" customHeight="1" x14ac:dyDescent="0.25">
      <c r="A16" s="173">
        <v>8.3333333333333329E-2</v>
      </c>
      <c r="B16" s="256" t="s">
        <v>93</v>
      </c>
      <c r="C16" s="174">
        <v>3805</v>
      </c>
      <c r="D16" s="175">
        <v>3824</v>
      </c>
      <c r="E16" s="176">
        <f t="shared" si="0"/>
        <v>20</v>
      </c>
      <c r="F16" s="177">
        <v>1</v>
      </c>
      <c r="G16" s="177">
        <v>0</v>
      </c>
      <c r="H16" s="178">
        <f t="shared" si="1"/>
        <v>19</v>
      </c>
      <c r="I16" s="266">
        <f>19+0</f>
        <v>19</v>
      </c>
      <c r="J16" s="180">
        <f t="shared" si="2"/>
        <v>1</v>
      </c>
      <c r="K16" s="181">
        <v>9</v>
      </c>
      <c r="L16" s="182">
        <v>0</v>
      </c>
      <c r="M16" s="183">
        <v>4</v>
      </c>
      <c r="N16" s="184">
        <v>5</v>
      </c>
      <c r="O16" s="185">
        <v>0</v>
      </c>
      <c r="P16" s="182">
        <v>1</v>
      </c>
      <c r="Q16" s="368">
        <v>1</v>
      </c>
      <c r="R16" s="481" t="s">
        <v>141</v>
      </c>
      <c r="S16" s="482"/>
      <c r="T16" s="482"/>
      <c r="U16" s="482"/>
      <c r="V16" s="483"/>
      <c r="W16" s="183" t="s">
        <v>10</v>
      </c>
      <c r="X16" s="384">
        <v>4</v>
      </c>
      <c r="Y16" s="385" t="s">
        <v>160</v>
      </c>
      <c r="Z16" s="386">
        <f>2+1</f>
        <v>3</v>
      </c>
      <c r="AA16" s="387">
        <f t="shared" si="8"/>
        <v>7</v>
      </c>
      <c r="AB16" s="388">
        <v>6</v>
      </c>
      <c r="AC16" s="389" t="s">
        <v>160</v>
      </c>
      <c r="AD16" s="390">
        <v>0</v>
      </c>
      <c r="AE16" s="391">
        <f t="shared" si="4"/>
        <v>6</v>
      </c>
      <c r="AF16" s="392">
        <f t="shared" si="5"/>
        <v>10</v>
      </c>
      <c r="AG16" s="393" t="s">
        <v>160</v>
      </c>
      <c r="AH16" s="394">
        <f t="shared" si="6"/>
        <v>3</v>
      </c>
      <c r="AI16" s="395">
        <f t="shared" si="7"/>
        <v>13</v>
      </c>
      <c r="AJ16" s="504" t="s">
        <v>152</v>
      </c>
    </row>
    <row r="17" spans="1:36" s="187" customFormat="1" ht="26.25" customHeight="1" x14ac:dyDescent="0.25">
      <c r="A17" s="173">
        <v>0.10416666666666667</v>
      </c>
      <c r="B17" s="256" t="s">
        <v>99</v>
      </c>
      <c r="C17" s="174">
        <v>3825</v>
      </c>
      <c r="D17" s="175">
        <v>3839</v>
      </c>
      <c r="E17" s="176">
        <f t="shared" si="0"/>
        <v>15</v>
      </c>
      <c r="F17" s="177">
        <v>0</v>
      </c>
      <c r="G17" s="177">
        <v>1</v>
      </c>
      <c r="H17" s="178">
        <f t="shared" si="1"/>
        <v>14</v>
      </c>
      <c r="I17" s="266">
        <f>14+1</f>
        <v>15</v>
      </c>
      <c r="J17" s="180">
        <f t="shared" si="2"/>
        <v>1</v>
      </c>
      <c r="K17" s="181">
        <v>7</v>
      </c>
      <c r="L17" s="182">
        <v>0</v>
      </c>
      <c r="M17" s="183">
        <v>3</v>
      </c>
      <c r="N17" s="184">
        <v>3</v>
      </c>
      <c r="O17" s="185">
        <v>1</v>
      </c>
      <c r="P17" s="182">
        <v>1</v>
      </c>
      <c r="Q17" s="368">
        <v>1</v>
      </c>
      <c r="R17" s="481" t="s">
        <v>141</v>
      </c>
      <c r="S17" s="482"/>
      <c r="T17" s="482"/>
      <c r="U17" s="482"/>
      <c r="V17" s="483"/>
      <c r="W17" s="183" t="s">
        <v>10</v>
      </c>
      <c r="X17" s="384">
        <v>2</v>
      </c>
      <c r="Y17" s="385" t="s">
        <v>160</v>
      </c>
      <c r="Z17" s="386">
        <f>1+1</f>
        <v>2</v>
      </c>
      <c r="AA17" s="387">
        <f t="shared" si="8"/>
        <v>4</v>
      </c>
      <c r="AB17" s="388">
        <v>4</v>
      </c>
      <c r="AC17" s="389" t="s">
        <v>160</v>
      </c>
      <c r="AD17" s="390">
        <v>1</v>
      </c>
      <c r="AE17" s="391">
        <f t="shared" si="4"/>
        <v>5</v>
      </c>
      <c r="AF17" s="392">
        <f t="shared" si="5"/>
        <v>6</v>
      </c>
      <c r="AG17" s="393" t="s">
        <v>160</v>
      </c>
      <c r="AH17" s="394">
        <f t="shared" si="6"/>
        <v>3</v>
      </c>
      <c r="AI17" s="395">
        <f t="shared" si="7"/>
        <v>9</v>
      </c>
      <c r="AJ17" s="504" t="s">
        <v>153</v>
      </c>
    </row>
    <row r="18" spans="1:36" s="187" customFormat="1" ht="26.25" customHeight="1" x14ac:dyDescent="0.25">
      <c r="A18" s="173">
        <v>0.125</v>
      </c>
      <c r="B18" s="256" t="s">
        <v>119</v>
      </c>
      <c r="C18" s="174">
        <v>3840</v>
      </c>
      <c r="D18" s="175">
        <v>3853</v>
      </c>
      <c r="E18" s="176">
        <f t="shared" si="0"/>
        <v>14</v>
      </c>
      <c r="F18" s="177">
        <v>0</v>
      </c>
      <c r="G18" s="177">
        <v>4</v>
      </c>
      <c r="H18" s="178">
        <f t="shared" si="1"/>
        <v>10</v>
      </c>
      <c r="I18" s="266">
        <f>10+4</f>
        <v>14</v>
      </c>
      <c r="J18" s="180">
        <f t="shared" si="2"/>
        <v>0</v>
      </c>
      <c r="K18" s="181">
        <v>8</v>
      </c>
      <c r="L18" s="182">
        <v>0</v>
      </c>
      <c r="M18" s="183">
        <v>1</v>
      </c>
      <c r="N18" s="184">
        <v>2</v>
      </c>
      <c r="O18" s="185">
        <v>3</v>
      </c>
      <c r="P18" s="182">
        <v>0</v>
      </c>
      <c r="Q18" s="186">
        <v>0</v>
      </c>
      <c r="R18" s="478"/>
      <c r="S18" s="479"/>
      <c r="T18" s="479"/>
      <c r="U18" s="479"/>
      <c r="V18" s="480"/>
      <c r="W18" s="183" t="s">
        <v>10</v>
      </c>
      <c r="X18" s="384">
        <v>4</v>
      </c>
      <c r="Y18" s="385" t="s">
        <v>160</v>
      </c>
      <c r="Z18" s="386">
        <v>0</v>
      </c>
      <c r="AA18" s="387">
        <f t="shared" si="8"/>
        <v>4</v>
      </c>
      <c r="AB18" s="388">
        <v>3</v>
      </c>
      <c r="AC18" s="389" t="s">
        <v>160</v>
      </c>
      <c r="AD18" s="390">
        <v>0</v>
      </c>
      <c r="AE18" s="391">
        <f t="shared" si="4"/>
        <v>3</v>
      </c>
      <c r="AF18" s="392">
        <f t="shared" si="5"/>
        <v>7</v>
      </c>
      <c r="AG18" s="393" t="s">
        <v>160</v>
      </c>
      <c r="AH18" s="394">
        <f t="shared" si="6"/>
        <v>0</v>
      </c>
      <c r="AI18" s="395">
        <f t="shared" si="7"/>
        <v>7</v>
      </c>
      <c r="AJ18" s="505" t="s">
        <v>154</v>
      </c>
    </row>
    <row r="19" spans="1:36" s="187" customFormat="1" ht="26.25" customHeight="1" x14ac:dyDescent="0.25">
      <c r="A19" s="173">
        <v>0.16666666666666666</v>
      </c>
      <c r="B19" s="256" t="s">
        <v>91</v>
      </c>
      <c r="C19" s="174">
        <v>3854</v>
      </c>
      <c r="D19" s="175">
        <v>3870</v>
      </c>
      <c r="E19" s="176">
        <f t="shared" si="0"/>
        <v>17</v>
      </c>
      <c r="F19" s="177">
        <v>3</v>
      </c>
      <c r="G19" s="177">
        <v>2</v>
      </c>
      <c r="H19" s="178">
        <f t="shared" si="1"/>
        <v>12</v>
      </c>
      <c r="I19" s="266">
        <f>12+2</f>
        <v>14</v>
      </c>
      <c r="J19" s="180">
        <f t="shared" si="2"/>
        <v>0</v>
      </c>
      <c r="K19" s="181">
        <v>6</v>
      </c>
      <c r="L19" s="182">
        <v>0</v>
      </c>
      <c r="M19" s="183">
        <v>3</v>
      </c>
      <c r="N19" s="184">
        <v>5</v>
      </c>
      <c r="O19" s="185">
        <v>0</v>
      </c>
      <c r="P19" s="182">
        <v>0</v>
      </c>
      <c r="Q19" s="186">
        <v>0</v>
      </c>
      <c r="R19" s="481" t="s">
        <v>134</v>
      </c>
      <c r="S19" s="482"/>
      <c r="T19" s="482"/>
      <c r="U19" s="482"/>
      <c r="V19" s="483"/>
      <c r="W19" s="183" t="s">
        <v>10</v>
      </c>
      <c r="X19" s="384">
        <v>2</v>
      </c>
      <c r="Y19" s="385" t="s">
        <v>160</v>
      </c>
      <c r="Z19" s="386">
        <v>0</v>
      </c>
      <c r="AA19" s="387">
        <f t="shared" si="8"/>
        <v>2</v>
      </c>
      <c r="AB19" s="388">
        <v>5</v>
      </c>
      <c r="AC19" s="389" t="s">
        <v>160</v>
      </c>
      <c r="AD19" s="390">
        <v>1</v>
      </c>
      <c r="AE19" s="391">
        <f t="shared" si="4"/>
        <v>6</v>
      </c>
      <c r="AF19" s="392">
        <f t="shared" si="5"/>
        <v>7</v>
      </c>
      <c r="AG19" s="393" t="s">
        <v>160</v>
      </c>
      <c r="AH19" s="394">
        <f t="shared" si="6"/>
        <v>1</v>
      </c>
      <c r="AI19" s="395">
        <f t="shared" si="7"/>
        <v>8</v>
      </c>
      <c r="AJ19" s="504" t="s">
        <v>150</v>
      </c>
    </row>
    <row r="20" spans="1:36" s="187" customFormat="1" ht="26.25" customHeight="1" thickBot="1" x14ac:dyDescent="0.3">
      <c r="A20" s="173">
        <v>0.1875</v>
      </c>
      <c r="B20" s="256" t="s">
        <v>99</v>
      </c>
      <c r="C20" s="174">
        <v>3871</v>
      </c>
      <c r="D20" s="175">
        <v>3883</v>
      </c>
      <c r="E20" s="176">
        <f t="shared" si="0"/>
        <v>13</v>
      </c>
      <c r="F20" s="177">
        <v>1</v>
      </c>
      <c r="G20" s="177">
        <v>0</v>
      </c>
      <c r="H20" s="178">
        <f t="shared" si="1"/>
        <v>12</v>
      </c>
      <c r="I20" s="266">
        <f>12+0</f>
        <v>12</v>
      </c>
      <c r="J20" s="180">
        <f t="shared" si="2"/>
        <v>0</v>
      </c>
      <c r="K20" s="181">
        <v>5</v>
      </c>
      <c r="L20" s="182">
        <v>0</v>
      </c>
      <c r="M20" s="183">
        <v>3</v>
      </c>
      <c r="N20" s="184">
        <v>3</v>
      </c>
      <c r="O20" s="185">
        <v>0</v>
      </c>
      <c r="P20" s="182">
        <v>0</v>
      </c>
      <c r="Q20" s="368">
        <v>1</v>
      </c>
      <c r="R20" s="486" t="s">
        <v>142</v>
      </c>
      <c r="S20" s="487"/>
      <c r="T20" s="487"/>
      <c r="U20" s="487"/>
      <c r="V20" s="488"/>
      <c r="W20" s="183" t="s">
        <v>10</v>
      </c>
      <c r="X20" s="384">
        <v>6</v>
      </c>
      <c r="Y20" s="385" t="s">
        <v>160</v>
      </c>
      <c r="Z20" s="386">
        <v>2</v>
      </c>
      <c r="AA20" s="387">
        <f t="shared" si="8"/>
        <v>8</v>
      </c>
      <c r="AB20" s="388">
        <v>3</v>
      </c>
      <c r="AC20" s="389" t="s">
        <v>160</v>
      </c>
      <c r="AD20" s="390">
        <v>0</v>
      </c>
      <c r="AE20" s="391">
        <f t="shared" si="4"/>
        <v>3</v>
      </c>
      <c r="AF20" s="392">
        <f t="shared" si="5"/>
        <v>9</v>
      </c>
      <c r="AG20" s="393" t="s">
        <v>160</v>
      </c>
      <c r="AH20" s="394">
        <f>Z20+AD20</f>
        <v>2</v>
      </c>
      <c r="AI20" s="395">
        <f t="shared" si="7"/>
        <v>11</v>
      </c>
      <c r="AJ20" s="504" t="s">
        <v>155</v>
      </c>
    </row>
    <row r="21" spans="1:36" s="187" customFormat="1" ht="26.25" hidden="1" customHeight="1" x14ac:dyDescent="0.25">
      <c r="A21" s="173">
        <f>'03.16 (v3)'!A23</f>
        <v>0</v>
      </c>
      <c r="B21" s="256">
        <f>'03.16 (v3)'!G23</f>
        <v>0</v>
      </c>
      <c r="C21" s="174">
        <f>'03.16 (v3)'!I23</f>
        <v>0</v>
      </c>
      <c r="D21" s="175"/>
      <c r="E21" s="176">
        <f t="shared" si="0"/>
        <v>0</v>
      </c>
      <c r="F21" s="177"/>
      <c r="G21" s="177"/>
      <c r="H21" s="178">
        <f t="shared" si="1"/>
        <v>0</v>
      </c>
      <c r="I21" s="266">
        <f>'03.16 (v3)'!Q23</f>
        <v>0</v>
      </c>
      <c r="J21" s="180">
        <f t="shared" si="2"/>
        <v>0</v>
      </c>
      <c r="K21" s="181">
        <f>'03.16 (v3)'!AA23</f>
        <v>0</v>
      </c>
      <c r="L21" s="182">
        <f>'03.16 (v3)'!U23</f>
        <v>0</v>
      </c>
      <c r="M21" s="183">
        <f>'03.16 (v3)'!V23</f>
        <v>0</v>
      </c>
      <c r="N21" s="184">
        <f>'03.16 (v3)'!W23</f>
        <v>0</v>
      </c>
      <c r="O21" s="185">
        <f>'03.16 (v3)'!X23</f>
        <v>0</v>
      </c>
      <c r="P21" s="182"/>
      <c r="Q21" s="186"/>
      <c r="R21" s="484">
        <f>'03.16 (v3)'!AC23</f>
        <v>0</v>
      </c>
      <c r="S21" s="485"/>
      <c r="T21" s="485"/>
      <c r="U21" s="485"/>
      <c r="V21" s="485"/>
      <c r="W21" s="183" t="s">
        <v>10</v>
      </c>
      <c r="X21" s="384"/>
      <c r="Y21" s="385" t="s">
        <v>160</v>
      </c>
      <c r="Z21" s="386"/>
      <c r="AA21" s="387">
        <f t="shared" si="8"/>
        <v>0</v>
      </c>
      <c r="AB21" s="388"/>
      <c r="AC21" s="389" t="s">
        <v>160</v>
      </c>
      <c r="AD21" s="390"/>
      <c r="AE21" s="391">
        <f t="shared" si="4"/>
        <v>0</v>
      </c>
      <c r="AF21" s="392">
        <f t="shared" si="5"/>
        <v>0</v>
      </c>
      <c r="AG21" s="393" t="s">
        <v>160</v>
      </c>
      <c r="AH21" s="394">
        <f t="shared" ref="AH21:AH36" si="9">AB21+AD21</f>
        <v>0</v>
      </c>
      <c r="AI21" s="395">
        <f t="shared" si="7"/>
        <v>0</v>
      </c>
    </row>
    <row r="22" spans="1:36" s="187" customFormat="1" ht="26.25" hidden="1" customHeight="1" x14ac:dyDescent="0.25">
      <c r="A22" s="173">
        <f>'03.16 (v3)'!A24</f>
        <v>0</v>
      </c>
      <c r="B22" s="256">
        <f>'03.16 (v3)'!G24</f>
        <v>0</v>
      </c>
      <c r="C22" s="174">
        <f>'03.16 (v3)'!I24</f>
        <v>0</v>
      </c>
      <c r="D22" s="175"/>
      <c r="E22" s="176">
        <f t="shared" si="0"/>
        <v>0</v>
      </c>
      <c r="F22" s="177"/>
      <c r="G22" s="177"/>
      <c r="H22" s="178">
        <f t="shared" si="1"/>
        <v>0</v>
      </c>
      <c r="I22" s="266">
        <f>'03.16 (v3)'!Q24</f>
        <v>0</v>
      </c>
      <c r="J22" s="180">
        <f t="shared" si="2"/>
        <v>0</v>
      </c>
      <c r="K22" s="181">
        <f>'03.16 (v3)'!AA24</f>
        <v>0</v>
      </c>
      <c r="L22" s="182">
        <f>'03.16 (v3)'!U24</f>
        <v>0</v>
      </c>
      <c r="M22" s="183">
        <f>'03.16 (v3)'!V24</f>
        <v>0</v>
      </c>
      <c r="N22" s="184">
        <f>'03.16 (v3)'!W24</f>
        <v>0</v>
      </c>
      <c r="O22" s="185">
        <f>'03.16 (v3)'!X24</f>
        <v>0</v>
      </c>
      <c r="P22" s="182"/>
      <c r="Q22" s="186"/>
      <c r="R22" s="484">
        <f>'03.16 (v3)'!AC24</f>
        <v>0</v>
      </c>
      <c r="S22" s="485"/>
      <c r="T22" s="485"/>
      <c r="U22" s="485"/>
      <c r="V22" s="485"/>
      <c r="W22" s="183" t="s">
        <v>10</v>
      </c>
      <c r="X22" s="384"/>
      <c r="Y22" s="385" t="s">
        <v>160</v>
      </c>
      <c r="Z22" s="386"/>
      <c r="AA22" s="387">
        <f t="shared" si="8"/>
        <v>0</v>
      </c>
      <c r="AB22" s="388"/>
      <c r="AC22" s="389" t="s">
        <v>160</v>
      </c>
      <c r="AD22" s="390"/>
      <c r="AE22" s="391">
        <f t="shared" si="4"/>
        <v>0</v>
      </c>
      <c r="AF22" s="392">
        <f t="shared" si="5"/>
        <v>0</v>
      </c>
      <c r="AG22" s="393" t="s">
        <v>160</v>
      </c>
      <c r="AH22" s="394">
        <f t="shared" si="9"/>
        <v>0</v>
      </c>
      <c r="AI22" s="395">
        <f t="shared" si="7"/>
        <v>0</v>
      </c>
    </row>
    <row r="23" spans="1:36" s="187" customFormat="1" ht="26.25" hidden="1" customHeight="1" x14ac:dyDescent="0.25">
      <c r="A23" s="173">
        <f>'03.16 (v3)'!A25</f>
        <v>0</v>
      </c>
      <c r="B23" s="256">
        <f>'03.16 (v3)'!G25</f>
        <v>0</v>
      </c>
      <c r="C23" s="174">
        <f>'03.16 (v3)'!I25</f>
        <v>0</v>
      </c>
      <c r="D23" s="175"/>
      <c r="E23" s="176">
        <f t="shared" si="0"/>
        <v>0</v>
      </c>
      <c r="F23" s="177"/>
      <c r="G23" s="177"/>
      <c r="H23" s="178">
        <f t="shared" si="1"/>
        <v>0</v>
      </c>
      <c r="I23" s="266">
        <f>'03.16 (v3)'!Q25</f>
        <v>0</v>
      </c>
      <c r="J23" s="180">
        <f t="shared" si="2"/>
        <v>0</v>
      </c>
      <c r="K23" s="181">
        <f>'03.16 (v3)'!AA25</f>
        <v>0</v>
      </c>
      <c r="L23" s="182">
        <f>'03.16 (v3)'!U25</f>
        <v>0</v>
      </c>
      <c r="M23" s="183">
        <f>'03.16 (v3)'!V25</f>
        <v>0</v>
      </c>
      <c r="N23" s="184">
        <f>'03.16 (v3)'!W25</f>
        <v>0</v>
      </c>
      <c r="O23" s="185">
        <f>'03.16 (v3)'!X25</f>
        <v>0</v>
      </c>
      <c r="P23" s="182"/>
      <c r="Q23" s="186"/>
      <c r="R23" s="484">
        <f>'03.16 (v3)'!AC25</f>
        <v>0</v>
      </c>
      <c r="S23" s="485"/>
      <c r="T23" s="485"/>
      <c r="U23" s="485"/>
      <c r="V23" s="485"/>
      <c r="W23" s="183" t="s">
        <v>10</v>
      </c>
      <c r="X23" s="384"/>
      <c r="Y23" s="385" t="s">
        <v>160</v>
      </c>
      <c r="Z23" s="386"/>
      <c r="AA23" s="387">
        <f t="shared" si="8"/>
        <v>0</v>
      </c>
      <c r="AB23" s="388"/>
      <c r="AC23" s="389" t="s">
        <v>160</v>
      </c>
      <c r="AD23" s="390"/>
      <c r="AE23" s="391">
        <f t="shared" si="4"/>
        <v>0</v>
      </c>
      <c r="AF23" s="392">
        <f t="shared" si="5"/>
        <v>0</v>
      </c>
      <c r="AG23" s="393" t="s">
        <v>160</v>
      </c>
      <c r="AH23" s="394">
        <f t="shared" si="9"/>
        <v>0</v>
      </c>
      <c r="AI23" s="395">
        <f t="shared" si="7"/>
        <v>0</v>
      </c>
    </row>
    <row r="24" spans="1:36" s="187" customFormat="1" ht="26.25" hidden="1" customHeight="1" x14ac:dyDescent="0.25">
      <c r="A24" s="173">
        <f>'03.16 (v3)'!A26</f>
        <v>0</v>
      </c>
      <c r="B24" s="256">
        <f>'03.16 (v3)'!G26</f>
        <v>0</v>
      </c>
      <c r="C24" s="174">
        <f>'03.16 (v3)'!I26</f>
        <v>0</v>
      </c>
      <c r="D24" s="175"/>
      <c r="E24" s="176">
        <f t="shared" si="0"/>
        <v>0</v>
      </c>
      <c r="F24" s="177"/>
      <c r="G24" s="177"/>
      <c r="H24" s="178">
        <f t="shared" si="1"/>
        <v>0</v>
      </c>
      <c r="I24" s="266">
        <f>'03.16 (v3)'!Q26</f>
        <v>0</v>
      </c>
      <c r="J24" s="180">
        <f t="shared" si="2"/>
        <v>0</v>
      </c>
      <c r="K24" s="181">
        <f>'03.16 (v3)'!AA26</f>
        <v>0</v>
      </c>
      <c r="L24" s="182">
        <f>'03.16 (v3)'!U26</f>
        <v>0</v>
      </c>
      <c r="M24" s="183">
        <f>'03.16 (v3)'!V26</f>
        <v>0</v>
      </c>
      <c r="N24" s="184">
        <f>'03.16 (v3)'!W26</f>
        <v>0</v>
      </c>
      <c r="O24" s="185">
        <f>'03.16 (v3)'!X26</f>
        <v>0</v>
      </c>
      <c r="P24" s="182"/>
      <c r="Q24" s="186"/>
      <c r="R24" s="484">
        <f>'03.16 (v3)'!AC26</f>
        <v>0</v>
      </c>
      <c r="S24" s="485"/>
      <c r="T24" s="485"/>
      <c r="U24" s="485"/>
      <c r="V24" s="485"/>
      <c r="W24" s="183" t="s">
        <v>10</v>
      </c>
      <c r="X24" s="384"/>
      <c r="Y24" s="385" t="s">
        <v>160</v>
      </c>
      <c r="Z24" s="386"/>
      <c r="AA24" s="387">
        <f t="shared" si="8"/>
        <v>0</v>
      </c>
      <c r="AB24" s="388"/>
      <c r="AC24" s="389" t="s">
        <v>160</v>
      </c>
      <c r="AD24" s="390"/>
      <c r="AE24" s="391">
        <f t="shared" si="4"/>
        <v>0</v>
      </c>
      <c r="AF24" s="392">
        <f t="shared" si="5"/>
        <v>0</v>
      </c>
      <c r="AG24" s="393" t="s">
        <v>160</v>
      </c>
      <c r="AH24" s="394">
        <f t="shared" si="9"/>
        <v>0</v>
      </c>
      <c r="AI24" s="395">
        <f t="shared" si="7"/>
        <v>0</v>
      </c>
    </row>
    <row r="25" spans="1:36" s="187" customFormat="1" ht="26.25" hidden="1" customHeight="1" x14ac:dyDescent="0.25">
      <c r="A25" s="173">
        <f>'03.16 (v3)'!A27</f>
        <v>0</v>
      </c>
      <c r="B25" s="256">
        <f>'03.16 (v3)'!G27</f>
        <v>0</v>
      </c>
      <c r="C25" s="174">
        <f>'03.16 (v3)'!I27</f>
        <v>0</v>
      </c>
      <c r="D25" s="175"/>
      <c r="E25" s="176">
        <f t="shared" si="0"/>
        <v>0</v>
      </c>
      <c r="F25" s="177"/>
      <c r="G25" s="177"/>
      <c r="H25" s="178">
        <f t="shared" si="1"/>
        <v>0</v>
      </c>
      <c r="I25" s="266">
        <f>'03.16 (v3)'!Q27</f>
        <v>0</v>
      </c>
      <c r="J25" s="180">
        <f t="shared" si="2"/>
        <v>0</v>
      </c>
      <c r="K25" s="181">
        <f>'03.16 (v3)'!AA27</f>
        <v>0</v>
      </c>
      <c r="L25" s="182">
        <f>'03.16 (v3)'!U27</f>
        <v>0</v>
      </c>
      <c r="M25" s="183">
        <f>'03.16 (v3)'!V27</f>
        <v>0</v>
      </c>
      <c r="N25" s="184">
        <f>'03.16 (v3)'!W27</f>
        <v>0</v>
      </c>
      <c r="O25" s="185">
        <f>'03.16 (v3)'!X27</f>
        <v>0</v>
      </c>
      <c r="P25" s="182"/>
      <c r="Q25" s="186"/>
      <c r="R25" s="484">
        <f>'03.16 (v3)'!AC27</f>
        <v>0</v>
      </c>
      <c r="S25" s="485"/>
      <c r="T25" s="485"/>
      <c r="U25" s="485"/>
      <c r="V25" s="485"/>
      <c r="W25" s="183" t="s">
        <v>10</v>
      </c>
      <c r="X25" s="384"/>
      <c r="Y25" s="385" t="s">
        <v>160</v>
      </c>
      <c r="Z25" s="386"/>
      <c r="AA25" s="387">
        <f t="shared" si="8"/>
        <v>0</v>
      </c>
      <c r="AB25" s="388"/>
      <c r="AC25" s="389" t="s">
        <v>160</v>
      </c>
      <c r="AD25" s="390"/>
      <c r="AE25" s="391">
        <f t="shared" si="4"/>
        <v>0</v>
      </c>
      <c r="AF25" s="392">
        <f t="shared" si="5"/>
        <v>0</v>
      </c>
      <c r="AG25" s="393" t="s">
        <v>160</v>
      </c>
      <c r="AH25" s="394">
        <f t="shared" si="9"/>
        <v>0</v>
      </c>
      <c r="AI25" s="395">
        <f t="shared" si="7"/>
        <v>0</v>
      </c>
    </row>
    <row r="26" spans="1:36" s="187" customFormat="1" ht="26.25" hidden="1" customHeight="1" x14ac:dyDescent="0.25">
      <c r="A26" s="173">
        <f>'03.16 (v3)'!A28</f>
        <v>0</v>
      </c>
      <c r="B26" s="256">
        <f>'03.16 (v3)'!G28</f>
        <v>0</v>
      </c>
      <c r="C26" s="174">
        <f>'03.16 (v3)'!I28</f>
        <v>0</v>
      </c>
      <c r="D26" s="175"/>
      <c r="E26" s="176">
        <f t="shared" si="0"/>
        <v>0</v>
      </c>
      <c r="F26" s="177"/>
      <c r="G26" s="177"/>
      <c r="H26" s="178">
        <f t="shared" si="1"/>
        <v>0</v>
      </c>
      <c r="I26" s="266">
        <f>'03.16 (v3)'!Q28</f>
        <v>0</v>
      </c>
      <c r="J26" s="180">
        <f t="shared" si="2"/>
        <v>0</v>
      </c>
      <c r="K26" s="181">
        <f>'03.16 (v3)'!AA28</f>
        <v>0</v>
      </c>
      <c r="L26" s="182">
        <f>'03.16 (v3)'!U28</f>
        <v>0</v>
      </c>
      <c r="M26" s="183">
        <f>'03.16 (v3)'!V28</f>
        <v>0</v>
      </c>
      <c r="N26" s="184">
        <f>'03.16 (v3)'!W28</f>
        <v>0</v>
      </c>
      <c r="O26" s="185">
        <f>'03.16 (v3)'!X28</f>
        <v>0</v>
      </c>
      <c r="P26" s="182"/>
      <c r="Q26" s="186"/>
      <c r="R26" s="484">
        <f>'03.16 (v3)'!AC28</f>
        <v>0</v>
      </c>
      <c r="S26" s="485"/>
      <c r="T26" s="485"/>
      <c r="U26" s="485"/>
      <c r="V26" s="485"/>
      <c r="W26" s="183" t="s">
        <v>10</v>
      </c>
      <c r="X26" s="384"/>
      <c r="Y26" s="385" t="s">
        <v>160</v>
      </c>
      <c r="Z26" s="386"/>
      <c r="AA26" s="387">
        <f t="shared" si="8"/>
        <v>0</v>
      </c>
      <c r="AB26" s="388"/>
      <c r="AC26" s="389" t="s">
        <v>160</v>
      </c>
      <c r="AD26" s="390"/>
      <c r="AE26" s="391">
        <f t="shared" si="4"/>
        <v>0</v>
      </c>
      <c r="AF26" s="392">
        <f t="shared" si="5"/>
        <v>0</v>
      </c>
      <c r="AG26" s="393" t="s">
        <v>160</v>
      </c>
      <c r="AH26" s="394">
        <f t="shared" si="9"/>
        <v>0</v>
      </c>
      <c r="AI26" s="395">
        <f t="shared" si="7"/>
        <v>0</v>
      </c>
    </row>
    <row r="27" spans="1:36" s="187" customFormat="1" ht="26.25" hidden="1" customHeight="1" x14ac:dyDescent="0.25">
      <c r="A27" s="173">
        <f>'03.16 (v3)'!A29</f>
        <v>0</v>
      </c>
      <c r="B27" s="256">
        <f>'03.16 (v3)'!G29</f>
        <v>0</v>
      </c>
      <c r="C27" s="174">
        <f>'03.16 (v3)'!I29</f>
        <v>0</v>
      </c>
      <c r="D27" s="175"/>
      <c r="E27" s="176">
        <f t="shared" si="0"/>
        <v>0</v>
      </c>
      <c r="F27" s="177"/>
      <c r="G27" s="177"/>
      <c r="H27" s="178">
        <f t="shared" si="1"/>
        <v>0</v>
      </c>
      <c r="I27" s="266">
        <f>'03.16 (v3)'!Q29</f>
        <v>0</v>
      </c>
      <c r="J27" s="180">
        <f t="shared" si="2"/>
        <v>0</v>
      </c>
      <c r="K27" s="181">
        <f>'03.16 (v3)'!AA29</f>
        <v>0</v>
      </c>
      <c r="L27" s="182">
        <f>'03.16 (v3)'!U29</f>
        <v>0</v>
      </c>
      <c r="M27" s="183">
        <f>'03.16 (v3)'!V29</f>
        <v>0</v>
      </c>
      <c r="N27" s="184">
        <f>'03.16 (v3)'!W29</f>
        <v>0</v>
      </c>
      <c r="O27" s="185">
        <f>'03.16 (v3)'!X29</f>
        <v>0</v>
      </c>
      <c r="P27" s="182"/>
      <c r="Q27" s="186"/>
      <c r="R27" s="484">
        <f>'03.16 (v3)'!AC29</f>
        <v>0</v>
      </c>
      <c r="S27" s="485"/>
      <c r="T27" s="485"/>
      <c r="U27" s="485"/>
      <c r="V27" s="485"/>
      <c r="W27" s="183" t="s">
        <v>10</v>
      </c>
      <c r="X27" s="384"/>
      <c r="Y27" s="385" t="s">
        <v>160</v>
      </c>
      <c r="Z27" s="386"/>
      <c r="AA27" s="387">
        <f t="shared" si="8"/>
        <v>0</v>
      </c>
      <c r="AB27" s="388"/>
      <c r="AC27" s="389" t="s">
        <v>160</v>
      </c>
      <c r="AD27" s="390"/>
      <c r="AE27" s="391">
        <f t="shared" si="4"/>
        <v>0</v>
      </c>
      <c r="AF27" s="392">
        <f t="shared" si="5"/>
        <v>0</v>
      </c>
      <c r="AG27" s="393" t="s">
        <v>160</v>
      </c>
      <c r="AH27" s="394">
        <f t="shared" si="9"/>
        <v>0</v>
      </c>
      <c r="AI27" s="395">
        <f t="shared" si="7"/>
        <v>0</v>
      </c>
    </row>
    <row r="28" spans="1:36" s="187" customFormat="1" ht="26.25" hidden="1" customHeight="1" x14ac:dyDescent="0.25">
      <c r="A28" s="173">
        <f>'03.16 (v3)'!A30</f>
        <v>0</v>
      </c>
      <c r="B28" s="256">
        <f>'03.16 (v3)'!G30</f>
        <v>0</v>
      </c>
      <c r="C28" s="174">
        <f>'03.16 (v3)'!I30</f>
        <v>0</v>
      </c>
      <c r="D28" s="175"/>
      <c r="E28" s="176">
        <f t="shared" si="0"/>
        <v>0</v>
      </c>
      <c r="F28" s="177"/>
      <c r="G28" s="177"/>
      <c r="H28" s="178">
        <f t="shared" si="1"/>
        <v>0</v>
      </c>
      <c r="I28" s="266">
        <f>'03.16 (v3)'!Q30</f>
        <v>0</v>
      </c>
      <c r="J28" s="180">
        <f t="shared" si="2"/>
        <v>0</v>
      </c>
      <c r="K28" s="181">
        <f>'03.16 (v3)'!AA30</f>
        <v>0</v>
      </c>
      <c r="L28" s="182">
        <f>'03.16 (v3)'!U30</f>
        <v>0</v>
      </c>
      <c r="M28" s="183">
        <f>'03.16 (v3)'!V30</f>
        <v>0</v>
      </c>
      <c r="N28" s="184">
        <f>'03.16 (v3)'!W30</f>
        <v>0</v>
      </c>
      <c r="O28" s="185">
        <f>'03.16 (v3)'!X30</f>
        <v>0</v>
      </c>
      <c r="P28" s="182"/>
      <c r="Q28" s="186"/>
      <c r="R28" s="484">
        <f>'03.16 (v3)'!AC30</f>
        <v>0</v>
      </c>
      <c r="S28" s="485"/>
      <c r="T28" s="485"/>
      <c r="U28" s="485"/>
      <c r="V28" s="485"/>
      <c r="W28" s="183" t="s">
        <v>10</v>
      </c>
      <c r="X28" s="384"/>
      <c r="Y28" s="385" t="s">
        <v>160</v>
      </c>
      <c r="Z28" s="386"/>
      <c r="AA28" s="387">
        <f t="shared" si="8"/>
        <v>0</v>
      </c>
      <c r="AB28" s="388"/>
      <c r="AC28" s="389" t="s">
        <v>160</v>
      </c>
      <c r="AD28" s="390"/>
      <c r="AE28" s="391">
        <f t="shared" si="4"/>
        <v>0</v>
      </c>
      <c r="AF28" s="392">
        <f t="shared" si="5"/>
        <v>0</v>
      </c>
      <c r="AG28" s="393" t="s">
        <v>160</v>
      </c>
      <c r="AH28" s="394">
        <f t="shared" si="9"/>
        <v>0</v>
      </c>
      <c r="AI28" s="395">
        <f t="shared" si="7"/>
        <v>0</v>
      </c>
    </row>
    <row r="29" spans="1:36" s="187" customFormat="1" ht="26.25" hidden="1" customHeight="1" x14ac:dyDescent="0.25">
      <c r="A29" s="173">
        <f>'03.16 (v3)'!A31</f>
        <v>0</v>
      </c>
      <c r="B29" s="256">
        <f>'03.16 (v3)'!G31</f>
        <v>0</v>
      </c>
      <c r="C29" s="174">
        <f>'03.16 (v3)'!I31</f>
        <v>0</v>
      </c>
      <c r="D29" s="175"/>
      <c r="E29" s="176">
        <f t="shared" si="0"/>
        <v>0</v>
      </c>
      <c r="F29" s="177"/>
      <c r="G29" s="177"/>
      <c r="H29" s="178">
        <f t="shared" si="1"/>
        <v>0</v>
      </c>
      <c r="I29" s="266">
        <f>'03.16 (v3)'!Q31</f>
        <v>0</v>
      </c>
      <c r="J29" s="180">
        <f t="shared" si="2"/>
        <v>0</v>
      </c>
      <c r="K29" s="181">
        <f>'03.16 (v3)'!AA31</f>
        <v>0</v>
      </c>
      <c r="L29" s="182">
        <f>'03.16 (v3)'!U31</f>
        <v>0</v>
      </c>
      <c r="M29" s="183">
        <f>'03.16 (v3)'!V31</f>
        <v>0</v>
      </c>
      <c r="N29" s="184">
        <f>'03.16 (v3)'!W31</f>
        <v>0</v>
      </c>
      <c r="O29" s="185">
        <f>'03.16 (v3)'!X31</f>
        <v>0</v>
      </c>
      <c r="P29" s="182"/>
      <c r="Q29" s="186"/>
      <c r="R29" s="484">
        <f>'03.16 (v3)'!AC31</f>
        <v>0</v>
      </c>
      <c r="S29" s="485"/>
      <c r="T29" s="485"/>
      <c r="U29" s="485"/>
      <c r="V29" s="485"/>
      <c r="W29" s="183" t="s">
        <v>10</v>
      </c>
      <c r="X29" s="384"/>
      <c r="Y29" s="385" t="s">
        <v>160</v>
      </c>
      <c r="Z29" s="386"/>
      <c r="AA29" s="387">
        <f t="shared" si="8"/>
        <v>0</v>
      </c>
      <c r="AB29" s="388"/>
      <c r="AC29" s="389" t="s">
        <v>160</v>
      </c>
      <c r="AD29" s="390"/>
      <c r="AE29" s="391">
        <f t="shared" si="4"/>
        <v>0</v>
      </c>
      <c r="AF29" s="392">
        <f t="shared" si="5"/>
        <v>0</v>
      </c>
      <c r="AG29" s="393" t="s">
        <v>160</v>
      </c>
      <c r="AH29" s="394">
        <f t="shared" si="9"/>
        <v>0</v>
      </c>
      <c r="AI29" s="395">
        <f t="shared" si="7"/>
        <v>0</v>
      </c>
    </row>
    <row r="30" spans="1:36" s="187" customFormat="1" ht="26.25" hidden="1" customHeight="1" x14ac:dyDescent="0.25">
      <c r="A30" s="173">
        <f>'03.16 (v3)'!A32</f>
        <v>0</v>
      </c>
      <c r="B30" s="256">
        <f>'03.16 (v3)'!G32</f>
        <v>0</v>
      </c>
      <c r="C30" s="174">
        <f>'03.16 (v3)'!I32</f>
        <v>0</v>
      </c>
      <c r="D30" s="175"/>
      <c r="E30" s="176">
        <f t="shared" si="0"/>
        <v>0</v>
      </c>
      <c r="F30" s="177"/>
      <c r="G30" s="177"/>
      <c r="H30" s="178">
        <f t="shared" si="1"/>
        <v>0</v>
      </c>
      <c r="I30" s="266">
        <f>'03.16 (v3)'!Q32</f>
        <v>0</v>
      </c>
      <c r="J30" s="180">
        <f t="shared" si="2"/>
        <v>0</v>
      </c>
      <c r="K30" s="181">
        <f>'03.16 (v3)'!AA32</f>
        <v>0</v>
      </c>
      <c r="L30" s="182">
        <f>'03.16 (v3)'!U32</f>
        <v>0</v>
      </c>
      <c r="M30" s="183">
        <f>'03.16 (v3)'!V32</f>
        <v>0</v>
      </c>
      <c r="N30" s="184">
        <f>'03.16 (v3)'!W32</f>
        <v>0</v>
      </c>
      <c r="O30" s="185">
        <f>'03.16 (v3)'!X32</f>
        <v>0</v>
      </c>
      <c r="P30" s="182"/>
      <c r="Q30" s="186"/>
      <c r="R30" s="484">
        <f>'03.16 (v3)'!AC32</f>
        <v>0</v>
      </c>
      <c r="S30" s="485"/>
      <c r="T30" s="485"/>
      <c r="U30" s="485"/>
      <c r="V30" s="485"/>
      <c r="W30" s="183" t="s">
        <v>10</v>
      </c>
      <c r="X30" s="384"/>
      <c r="Y30" s="385" t="s">
        <v>160</v>
      </c>
      <c r="Z30" s="386"/>
      <c r="AA30" s="387">
        <f t="shared" si="8"/>
        <v>0</v>
      </c>
      <c r="AB30" s="388"/>
      <c r="AC30" s="389" t="s">
        <v>160</v>
      </c>
      <c r="AD30" s="390"/>
      <c r="AE30" s="391">
        <f t="shared" si="4"/>
        <v>0</v>
      </c>
      <c r="AF30" s="392">
        <f t="shared" si="5"/>
        <v>0</v>
      </c>
      <c r="AG30" s="393" t="s">
        <v>160</v>
      </c>
      <c r="AH30" s="394">
        <f t="shared" si="9"/>
        <v>0</v>
      </c>
      <c r="AI30" s="395">
        <f t="shared" si="7"/>
        <v>0</v>
      </c>
    </row>
    <row r="31" spans="1:36" s="187" customFormat="1" ht="26.25" hidden="1" customHeight="1" x14ac:dyDescent="0.25">
      <c r="A31" s="173">
        <f>'03.16 (v3)'!A33</f>
        <v>0</v>
      </c>
      <c r="B31" s="256">
        <f>'03.16 (v3)'!G33</f>
        <v>0</v>
      </c>
      <c r="C31" s="174">
        <f>'03.16 (v3)'!I33</f>
        <v>0</v>
      </c>
      <c r="D31" s="175"/>
      <c r="E31" s="176">
        <f t="shared" si="0"/>
        <v>0</v>
      </c>
      <c r="F31" s="177"/>
      <c r="G31" s="177"/>
      <c r="H31" s="178">
        <f t="shared" si="1"/>
        <v>0</v>
      </c>
      <c r="I31" s="266">
        <f>'03.16 (v3)'!Q33</f>
        <v>0</v>
      </c>
      <c r="J31" s="180">
        <f t="shared" si="2"/>
        <v>0</v>
      </c>
      <c r="K31" s="181">
        <f>'03.16 (v3)'!AA33</f>
        <v>0</v>
      </c>
      <c r="L31" s="182">
        <f>'03.16 (v3)'!U33</f>
        <v>0</v>
      </c>
      <c r="M31" s="183">
        <f>'03.16 (v3)'!V33</f>
        <v>0</v>
      </c>
      <c r="N31" s="184">
        <f>'03.16 (v3)'!W33</f>
        <v>0</v>
      </c>
      <c r="O31" s="185">
        <f>'03.16 (v3)'!X33</f>
        <v>0</v>
      </c>
      <c r="P31" s="182"/>
      <c r="Q31" s="186"/>
      <c r="R31" s="484">
        <f>'03.16 (v3)'!AC33</f>
        <v>0</v>
      </c>
      <c r="S31" s="485"/>
      <c r="T31" s="485"/>
      <c r="U31" s="485"/>
      <c r="V31" s="485"/>
      <c r="W31" s="183" t="s">
        <v>10</v>
      </c>
      <c r="X31" s="384"/>
      <c r="Y31" s="385" t="s">
        <v>160</v>
      </c>
      <c r="Z31" s="386"/>
      <c r="AA31" s="387">
        <f t="shared" si="8"/>
        <v>0</v>
      </c>
      <c r="AB31" s="388"/>
      <c r="AC31" s="389" t="s">
        <v>160</v>
      </c>
      <c r="AD31" s="390"/>
      <c r="AE31" s="391">
        <f t="shared" si="4"/>
        <v>0</v>
      </c>
      <c r="AF31" s="392">
        <f t="shared" si="5"/>
        <v>0</v>
      </c>
      <c r="AG31" s="393" t="s">
        <v>160</v>
      </c>
      <c r="AH31" s="394">
        <f t="shared" si="9"/>
        <v>0</v>
      </c>
      <c r="AI31" s="395">
        <f t="shared" si="7"/>
        <v>0</v>
      </c>
    </row>
    <row r="32" spans="1:36" s="187" customFormat="1" ht="26.25" hidden="1" customHeight="1" x14ac:dyDescent="0.25">
      <c r="A32" s="173">
        <f>'03.16 (v3)'!A34</f>
        <v>0</v>
      </c>
      <c r="B32" s="256">
        <f>'03.16 (v3)'!G34</f>
        <v>0</v>
      </c>
      <c r="C32" s="174">
        <f>'03.16 (v3)'!I34</f>
        <v>0</v>
      </c>
      <c r="D32" s="175"/>
      <c r="E32" s="176">
        <f t="shared" si="0"/>
        <v>0</v>
      </c>
      <c r="F32" s="177"/>
      <c r="G32" s="177"/>
      <c r="H32" s="178">
        <f t="shared" si="1"/>
        <v>0</v>
      </c>
      <c r="I32" s="266">
        <f>'03.16 (v3)'!Q34</f>
        <v>0</v>
      </c>
      <c r="J32" s="180">
        <f t="shared" si="2"/>
        <v>0</v>
      </c>
      <c r="K32" s="181">
        <f>'03.16 (v3)'!AA34</f>
        <v>0</v>
      </c>
      <c r="L32" s="182">
        <f>'03.16 (v3)'!U34</f>
        <v>0</v>
      </c>
      <c r="M32" s="183">
        <f>'03.16 (v3)'!V34</f>
        <v>0</v>
      </c>
      <c r="N32" s="184">
        <f>'03.16 (v3)'!W34</f>
        <v>0</v>
      </c>
      <c r="O32" s="185">
        <f>'03.16 (v3)'!X34</f>
        <v>0</v>
      </c>
      <c r="P32" s="182"/>
      <c r="Q32" s="186"/>
      <c r="R32" s="484">
        <f>'03.16 (v3)'!AC34</f>
        <v>0</v>
      </c>
      <c r="S32" s="485"/>
      <c r="T32" s="485"/>
      <c r="U32" s="485"/>
      <c r="V32" s="485"/>
      <c r="W32" s="183" t="s">
        <v>10</v>
      </c>
      <c r="X32" s="384"/>
      <c r="Y32" s="385" t="s">
        <v>160</v>
      </c>
      <c r="Z32" s="386"/>
      <c r="AA32" s="387">
        <f t="shared" si="8"/>
        <v>0</v>
      </c>
      <c r="AB32" s="388"/>
      <c r="AC32" s="389" t="s">
        <v>160</v>
      </c>
      <c r="AD32" s="390"/>
      <c r="AE32" s="391">
        <f t="shared" si="4"/>
        <v>0</v>
      </c>
      <c r="AF32" s="392">
        <f t="shared" si="5"/>
        <v>0</v>
      </c>
      <c r="AG32" s="393" t="s">
        <v>160</v>
      </c>
      <c r="AH32" s="394">
        <f t="shared" si="9"/>
        <v>0</v>
      </c>
      <c r="AI32" s="395">
        <f t="shared" si="7"/>
        <v>0</v>
      </c>
    </row>
    <row r="33" spans="1:36" s="187" customFormat="1" ht="26.25" hidden="1" customHeight="1" x14ac:dyDescent="0.25">
      <c r="A33" s="173">
        <f>'03.16 (v3)'!A35</f>
        <v>0</v>
      </c>
      <c r="B33" s="256">
        <f>'03.16 (v3)'!G35</f>
        <v>0</v>
      </c>
      <c r="C33" s="174">
        <f>'03.16 (v3)'!I35</f>
        <v>0</v>
      </c>
      <c r="D33" s="175"/>
      <c r="E33" s="176">
        <f t="shared" si="0"/>
        <v>0</v>
      </c>
      <c r="F33" s="177"/>
      <c r="G33" s="177"/>
      <c r="H33" s="178">
        <f t="shared" si="1"/>
        <v>0</v>
      </c>
      <c r="I33" s="266">
        <f>'03.16 (v3)'!Q35</f>
        <v>0</v>
      </c>
      <c r="J33" s="180">
        <f t="shared" si="2"/>
        <v>0</v>
      </c>
      <c r="K33" s="181">
        <f>'03.16 (v3)'!AA35</f>
        <v>0</v>
      </c>
      <c r="L33" s="182">
        <f>'03.16 (v3)'!U35</f>
        <v>0</v>
      </c>
      <c r="M33" s="183">
        <f>'03.16 (v3)'!V35</f>
        <v>0</v>
      </c>
      <c r="N33" s="184">
        <f>'03.16 (v3)'!W35</f>
        <v>0</v>
      </c>
      <c r="O33" s="185">
        <f>'03.16 (v3)'!X35</f>
        <v>0</v>
      </c>
      <c r="P33" s="182"/>
      <c r="Q33" s="186"/>
      <c r="R33" s="484">
        <f>'03.16 (v3)'!AC35</f>
        <v>0</v>
      </c>
      <c r="S33" s="485"/>
      <c r="T33" s="485"/>
      <c r="U33" s="485"/>
      <c r="V33" s="485"/>
      <c r="W33" s="183" t="s">
        <v>10</v>
      </c>
      <c r="X33" s="384"/>
      <c r="Y33" s="385" t="s">
        <v>160</v>
      </c>
      <c r="Z33" s="386"/>
      <c r="AA33" s="387">
        <f t="shared" si="8"/>
        <v>0</v>
      </c>
      <c r="AB33" s="388"/>
      <c r="AC33" s="389" t="s">
        <v>160</v>
      </c>
      <c r="AD33" s="390"/>
      <c r="AE33" s="391">
        <f t="shared" si="4"/>
        <v>0</v>
      </c>
      <c r="AF33" s="392">
        <f t="shared" si="5"/>
        <v>0</v>
      </c>
      <c r="AG33" s="393" t="s">
        <v>160</v>
      </c>
      <c r="AH33" s="394">
        <f t="shared" si="9"/>
        <v>0</v>
      </c>
      <c r="AI33" s="395">
        <f t="shared" si="7"/>
        <v>0</v>
      </c>
    </row>
    <row r="34" spans="1:36" s="187" customFormat="1" ht="26.25" hidden="1" customHeight="1" x14ac:dyDescent="0.25">
      <c r="A34" s="173">
        <f>'03.16 (v3)'!A36</f>
        <v>0</v>
      </c>
      <c r="B34" s="256">
        <f>'03.16 (v3)'!G36</f>
        <v>0</v>
      </c>
      <c r="C34" s="174">
        <f>'03.16 (v3)'!I36</f>
        <v>0</v>
      </c>
      <c r="D34" s="175"/>
      <c r="E34" s="176">
        <f t="shared" si="0"/>
        <v>0</v>
      </c>
      <c r="F34" s="177"/>
      <c r="G34" s="177"/>
      <c r="H34" s="178">
        <f t="shared" si="1"/>
        <v>0</v>
      </c>
      <c r="I34" s="266">
        <f>'03.16 (v3)'!Q36</f>
        <v>0</v>
      </c>
      <c r="J34" s="180">
        <f t="shared" si="2"/>
        <v>0</v>
      </c>
      <c r="K34" s="181">
        <f>'03.16 (v3)'!AA36</f>
        <v>0</v>
      </c>
      <c r="L34" s="182">
        <f>'03.16 (v3)'!U36</f>
        <v>0</v>
      </c>
      <c r="M34" s="183">
        <f>'03.16 (v3)'!V36</f>
        <v>0</v>
      </c>
      <c r="N34" s="184">
        <f>'03.16 (v3)'!W36</f>
        <v>0</v>
      </c>
      <c r="O34" s="185">
        <f>'03.16 (v3)'!X36</f>
        <v>0</v>
      </c>
      <c r="P34" s="182"/>
      <c r="Q34" s="186"/>
      <c r="R34" s="484">
        <f>'03.16 (v3)'!AC36</f>
        <v>0</v>
      </c>
      <c r="S34" s="485"/>
      <c r="T34" s="485"/>
      <c r="U34" s="485"/>
      <c r="V34" s="485"/>
      <c r="W34" s="183" t="s">
        <v>10</v>
      </c>
      <c r="X34" s="384"/>
      <c r="Y34" s="385" t="s">
        <v>160</v>
      </c>
      <c r="Z34" s="386"/>
      <c r="AA34" s="387">
        <f t="shared" si="8"/>
        <v>0</v>
      </c>
      <c r="AB34" s="388"/>
      <c r="AC34" s="389" t="s">
        <v>160</v>
      </c>
      <c r="AD34" s="390"/>
      <c r="AE34" s="391">
        <f t="shared" si="4"/>
        <v>0</v>
      </c>
      <c r="AF34" s="392">
        <f t="shared" si="5"/>
        <v>0</v>
      </c>
      <c r="AG34" s="393" t="s">
        <v>160</v>
      </c>
      <c r="AH34" s="394">
        <f t="shared" si="9"/>
        <v>0</v>
      </c>
      <c r="AI34" s="395">
        <f t="shared" si="7"/>
        <v>0</v>
      </c>
    </row>
    <row r="35" spans="1:36" s="187" customFormat="1" ht="26.25" hidden="1" customHeight="1" x14ac:dyDescent="0.25">
      <c r="A35" s="173">
        <f>'03.16 (v2)'!A37</f>
        <v>0</v>
      </c>
      <c r="B35" s="256">
        <f>'03.16 (v2)'!G37</f>
        <v>0</v>
      </c>
      <c r="C35" s="174">
        <f>'03.16 (v3)'!I37</f>
        <v>0</v>
      </c>
      <c r="D35" s="175"/>
      <c r="E35" s="176">
        <f t="shared" ref="E35:E36" si="10">IF(ISBLANK(D35),0,(D35-C35+1))</f>
        <v>0</v>
      </c>
      <c r="F35" s="177"/>
      <c r="G35" s="177"/>
      <c r="H35" s="178">
        <f t="shared" ref="H35:H36" si="11">E35-G35-F35</f>
        <v>0</v>
      </c>
      <c r="I35" s="266">
        <f>'03.16 (v3)'!Q37</f>
        <v>0</v>
      </c>
      <c r="J35" s="180">
        <f t="shared" ref="J35:J39" si="12">IF(ISBLANK(I35),-90,(-((I35)-SUM(L35:Q35,K35))))</f>
        <v>0</v>
      </c>
      <c r="K35" s="181">
        <f>'03.16 (v3)'!AA37</f>
        <v>0</v>
      </c>
      <c r="L35" s="182">
        <f>'03.16 (v3)'!U37</f>
        <v>0</v>
      </c>
      <c r="M35" s="183">
        <f>'03.16 (v3)'!V37</f>
        <v>0</v>
      </c>
      <c r="N35" s="184">
        <f>'03.16 (v3)'!W37</f>
        <v>0</v>
      </c>
      <c r="O35" s="185">
        <f>'03.16 (v3)'!X37</f>
        <v>0</v>
      </c>
      <c r="P35" s="182"/>
      <c r="Q35" s="186"/>
      <c r="R35" s="484">
        <f>'03.16 (v3)'!AC37</f>
        <v>0</v>
      </c>
      <c r="S35" s="485"/>
      <c r="T35" s="485"/>
      <c r="U35" s="485"/>
      <c r="V35" s="485"/>
      <c r="W35" s="183" t="s">
        <v>10</v>
      </c>
      <c r="X35" s="384"/>
      <c r="Y35" s="385" t="s">
        <v>160</v>
      </c>
      <c r="Z35" s="386"/>
      <c r="AA35" s="387">
        <f t="shared" si="8"/>
        <v>0</v>
      </c>
      <c r="AB35" s="388"/>
      <c r="AC35" s="389" t="s">
        <v>160</v>
      </c>
      <c r="AD35" s="390"/>
      <c r="AE35" s="391">
        <f t="shared" si="4"/>
        <v>0</v>
      </c>
      <c r="AF35" s="392">
        <f t="shared" si="5"/>
        <v>0</v>
      </c>
      <c r="AG35" s="393" t="s">
        <v>160</v>
      </c>
      <c r="AH35" s="394">
        <f t="shared" si="9"/>
        <v>0</v>
      </c>
      <c r="AI35" s="395">
        <f t="shared" si="7"/>
        <v>0</v>
      </c>
    </row>
    <row r="36" spans="1:36" s="187" customFormat="1" ht="26.25" hidden="1" customHeight="1" x14ac:dyDescent="0.25">
      <c r="A36" s="173">
        <f>'03.16 (v2)'!A38</f>
        <v>0</v>
      </c>
      <c r="B36" s="256">
        <f>'03.16 (v2)'!G38</f>
        <v>0</v>
      </c>
      <c r="C36" s="174">
        <f>'03.16 (v3)'!I38</f>
        <v>0</v>
      </c>
      <c r="D36" s="175"/>
      <c r="E36" s="176">
        <f t="shared" si="10"/>
        <v>0</v>
      </c>
      <c r="F36" s="177"/>
      <c r="G36" s="177"/>
      <c r="H36" s="178">
        <f t="shared" si="11"/>
        <v>0</v>
      </c>
      <c r="I36" s="266">
        <f>'03.16 (v3)'!Q38</f>
        <v>0</v>
      </c>
      <c r="J36" s="180">
        <f t="shared" si="12"/>
        <v>0</v>
      </c>
      <c r="K36" s="181">
        <f>'03.16 (v3)'!AA38</f>
        <v>0</v>
      </c>
      <c r="L36" s="182">
        <f>'03.16 (v3)'!U38</f>
        <v>0</v>
      </c>
      <c r="M36" s="183">
        <f>'03.16 (v3)'!V38</f>
        <v>0</v>
      </c>
      <c r="N36" s="184">
        <f>'03.16 (v3)'!W38</f>
        <v>0</v>
      </c>
      <c r="O36" s="185">
        <f>'03.16 (v3)'!X38</f>
        <v>0</v>
      </c>
      <c r="P36" s="182"/>
      <c r="Q36" s="186"/>
      <c r="R36" s="484">
        <f>'03.16 (v3)'!AC38</f>
        <v>0</v>
      </c>
      <c r="S36" s="485"/>
      <c r="T36" s="485"/>
      <c r="U36" s="485"/>
      <c r="V36" s="485"/>
      <c r="W36" s="183" t="s">
        <v>10</v>
      </c>
      <c r="X36" s="384"/>
      <c r="Y36" s="385" t="s">
        <v>160</v>
      </c>
      <c r="Z36" s="386"/>
      <c r="AA36" s="387">
        <f t="shared" si="8"/>
        <v>0</v>
      </c>
      <c r="AB36" s="388"/>
      <c r="AC36" s="389" t="s">
        <v>160</v>
      </c>
      <c r="AD36" s="390"/>
      <c r="AE36" s="391">
        <f t="shared" si="4"/>
        <v>0</v>
      </c>
      <c r="AF36" s="392">
        <f t="shared" si="5"/>
        <v>0</v>
      </c>
      <c r="AG36" s="393" t="s">
        <v>160</v>
      </c>
      <c r="AH36" s="394">
        <f t="shared" si="9"/>
        <v>0</v>
      </c>
      <c r="AI36" s="395">
        <f t="shared" si="7"/>
        <v>0</v>
      </c>
    </row>
    <row r="37" spans="1:36" s="187" customFormat="1" ht="26.25" hidden="1" customHeight="1" x14ac:dyDescent="0.25">
      <c r="A37" s="70">
        <v>0.41666666666666669</v>
      </c>
      <c r="B37" s="74" t="str">
        <f>'03.16 (v2)'!G39</f>
        <v>Joy</v>
      </c>
      <c r="C37" s="76" t="s">
        <v>10</v>
      </c>
      <c r="D37" s="77" t="s">
        <v>10</v>
      </c>
      <c r="E37" s="176" t="s">
        <v>10</v>
      </c>
      <c r="F37" s="259" t="s">
        <v>10</v>
      </c>
      <c r="G37" s="259" t="s">
        <v>10</v>
      </c>
      <c r="H37" s="178" t="s">
        <v>10</v>
      </c>
      <c r="I37" s="179" t="s">
        <v>10</v>
      </c>
      <c r="J37" s="180" t="e">
        <f t="shared" si="12"/>
        <v>#VALUE!</v>
      </c>
      <c r="K37" s="257" t="s">
        <v>10</v>
      </c>
      <c r="L37" s="258" t="s">
        <v>10</v>
      </c>
      <c r="M37" s="259" t="s">
        <v>10</v>
      </c>
      <c r="N37" s="260" t="s">
        <v>10</v>
      </c>
      <c r="O37" s="261" t="s">
        <v>10</v>
      </c>
      <c r="P37" s="258" t="s">
        <v>10</v>
      </c>
      <c r="Q37" s="262" t="s">
        <v>10</v>
      </c>
      <c r="R37" s="489" t="str">
        <f>'03.16 (v3)'!AC39</f>
        <v>Group A, Lunches, 
No Photos</v>
      </c>
      <c r="S37" s="490"/>
      <c r="T37" s="490"/>
      <c r="U37" s="490"/>
      <c r="V37" s="490"/>
      <c r="W37" s="259" t="s">
        <v>10</v>
      </c>
      <c r="X37" s="384" t="s">
        <v>10</v>
      </c>
      <c r="Y37" s="385" t="s">
        <v>10</v>
      </c>
      <c r="Z37" s="386" t="s">
        <v>10</v>
      </c>
      <c r="AA37" s="387" t="s">
        <v>10</v>
      </c>
      <c r="AB37" s="388" t="s">
        <v>10</v>
      </c>
      <c r="AC37" s="389" t="s">
        <v>10</v>
      </c>
      <c r="AD37" s="390" t="s">
        <v>10</v>
      </c>
      <c r="AE37" s="391" t="s">
        <v>10</v>
      </c>
      <c r="AF37" s="392" t="s">
        <v>10</v>
      </c>
      <c r="AG37" s="393" t="s">
        <v>10</v>
      </c>
      <c r="AH37" s="394" t="s">
        <v>10</v>
      </c>
      <c r="AI37" s="395" t="s">
        <v>10</v>
      </c>
    </row>
    <row r="38" spans="1:36" s="187" customFormat="1" ht="26.25" hidden="1" customHeight="1" x14ac:dyDescent="0.25">
      <c r="A38" s="83" t="s">
        <v>36</v>
      </c>
      <c r="B38" s="88" t="str">
        <f>'03.16 (v2)'!G45</f>
        <v>Ted,Cliff</v>
      </c>
      <c r="C38" s="90" t="s">
        <v>10</v>
      </c>
      <c r="D38" s="91" t="s">
        <v>10</v>
      </c>
      <c r="E38" s="176" t="s">
        <v>10</v>
      </c>
      <c r="F38" s="248" t="s">
        <v>10</v>
      </c>
      <c r="G38" s="248" t="s">
        <v>10</v>
      </c>
      <c r="H38" s="178" t="s">
        <v>10</v>
      </c>
      <c r="I38" s="249" t="s">
        <v>10</v>
      </c>
      <c r="J38" s="180" t="e">
        <f t="shared" si="12"/>
        <v>#VALUE!</v>
      </c>
      <c r="K38" s="250" t="s">
        <v>10</v>
      </c>
      <c r="L38" s="251" t="s">
        <v>10</v>
      </c>
      <c r="M38" s="248" t="s">
        <v>10</v>
      </c>
      <c r="N38" s="252" t="s">
        <v>10</v>
      </c>
      <c r="O38" s="253" t="s">
        <v>10</v>
      </c>
      <c r="P38" s="251" t="s">
        <v>10</v>
      </c>
      <c r="Q38" s="254" t="s">
        <v>10</v>
      </c>
      <c r="R38" s="500" t="str">
        <f>'03.16 (v3)'!AC40</f>
        <v>Group B, Lunches, 
No Photos</v>
      </c>
      <c r="S38" s="501"/>
      <c r="T38" s="501"/>
      <c r="U38" s="501"/>
      <c r="V38" s="501"/>
      <c r="W38" s="248" t="s">
        <v>10</v>
      </c>
      <c r="X38" s="384" t="s">
        <v>10</v>
      </c>
      <c r="Y38" s="385" t="s">
        <v>10</v>
      </c>
      <c r="Z38" s="386" t="s">
        <v>10</v>
      </c>
      <c r="AA38" s="387" t="s">
        <v>10</v>
      </c>
      <c r="AB38" s="388" t="s">
        <v>10</v>
      </c>
      <c r="AC38" s="389" t="s">
        <v>10</v>
      </c>
      <c r="AD38" s="390" t="s">
        <v>10</v>
      </c>
      <c r="AE38" s="391" t="s">
        <v>10</v>
      </c>
      <c r="AF38" s="392" t="s">
        <v>10</v>
      </c>
      <c r="AG38" s="393" t="s">
        <v>10</v>
      </c>
      <c r="AH38" s="394" t="s">
        <v>10</v>
      </c>
      <c r="AI38" s="395" t="s">
        <v>10</v>
      </c>
    </row>
    <row r="39" spans="1:36" s="187" customFormat="1" ht="49.5" hidden="1" customHeight="1" x14ac:dyDescent="0.25">
      <c r="A39" s="244"/>
      <c r="B39" s="255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12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494" t="str">
        <f>'03.16 (v3)'!AC41</f>
        <v>Group C, Lunches, 
No Photos</v>
      </c>
      <c r="S39" s="495"/>
      <c r="T39" s="495"/>
      <c r="U39" s="495"/>
      <c r="V39" s="495"/>
      <c r="W39" s="191"/>
      <c r="X39" s="384" t="s">
        <v>10</v>
      </c>
      <c r="Y39" s="385" t="s">
        <v>10</v>
      </c>
      <c r="Z39" s="386" t="s">
        <v>10</v>
      </c>
      <c r="AA39" s="387" t="s">
        <v>10</v>
      </c>
      <c r="AB39" s="388" t="s">
        <v>10</v>
      </c>
      <c r="AC39" s="389" t="s">
        <v>10</v>
      </c>
      <c r="AD39" s="390" t="s">
        <v>10</v>
      </c>
      <c r="AE39" s="391" t="s">
        <v>10</v>
      </c>
      <c r="AF39" s="392" t="s">
        <v>10</v>
      </c>
      <c r="AG39" s="393" t="s">
        <v>10</v>
      </c>
      <c r="AH39" s="394" t="s">
        <v>10</v>
      </c>
      <c r="AI39" s="395" t="s">
        <v>10</v>
      </c>
    </row>
    <row r="40" spans="1:36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496"/>
      <c r="S40" s="497"/>
      <c r="T40" s="497"/>
      <c r="U40" s="497"/>
      <c r="V40" s="497"/>
      <c r="W40" s="247"/>
      <c r="X40" s="381"/>
      <c r="Y40" s="382"/>
      <c r="Z40" s="383"/>
      <c r="AA40" s="247"/>
      <c r="AB40" s="381"/>
      <c r="AC40" s="382"/>
      <c r="AD40" s="383"/>
      <c r="AE40" s="247"/>
      <c r="AF40" s="381"/>
      <c r="AG40" s="382"/>
      <c r="AH40" s="383"/>
      <c r="AI40" s="247"/>
    </row>
    <row r="41" spans="1:36" s="214" customFormat="1" ht="30.75" customHeight="1" x14ac:dyDescent="0.25">
      <c r="B41" s="215"/>
      <c r="D41" s="216"/>
      <c r="E41" s="217">
        <f>SUM(E2:E40)</f>
        <v>212</v>
      </c>
      <c r="F41" s="218">
        <f>SUM(F2:F40)</f>
        <v>8</v>
      </c>
      <c r="G41" s="218">
        <f>SUM(G2:G40)</f>
        <v>25</v>
      </c>
      <c r="H41" s="219">
        <f>E41-F41-G41</f>
        <v>179</v>
      </c>
      <c r="I41" s="264">
        <f t="shared" ref="I41:Q41" si="13">SUM(I2:I40)</f>
        <v>204</v>
      </c>
      <c r="J41" s="220" t="e">
        <f t="shared" si="13"/>
        <v>#VALUE!</v>
      </c>
      <c r="K41" s="221">
        <f t="shared" si="13"/>
        <v>118</v>
      </c>
      <c r="L41" s="222">
        <f t="shared" si="13"/>
        <v>0</v>
      </c>
      <c r="M41" s="223">
        <f t="shared" si="13"/>
        <v>35</v>
      </c>
      <c r="N41" s="224">
        <f t="shared" si="13"/>
        <v>43</v>
      </c>
      <c r="O41" s="225">
        <f t="shared" si="13"/>
        <v>15</v>
      </c>
      <c r="P41" s="226">
        <f t="shared" si="13"/>
        <v>3</v>
      </c>
      <c r="Q41" s="223">
        <f t="shared" si="13"/>
        <v>3</v>
      </c>
      <c r="R41" s="227">
        <f>SUM(L41:Q41)</f>
        <v>99</v>
      </c>
      <c r="S41" s="498" t="s">
        <v>61</v>
      </c>
      <c r="T41" s="499"/>
      <c r="U41" s="499"/>
      <c r="V41" s="499"/>
      <c r="W41" s="246">
        <f>SUM(W2:W40)</f>
        <v>151</v>
      </c>
      <c r="X41" s="384">
        <f>SUM(X2:X40)</f>
        <v>53</v>
      </c>
      <c r="Y41" s="385" t="s">
        <v>160</v>
      </c>
      <c r="Z41" s="386">
        <f>SUM(Z2:Z40)</f>
        <v>11</v>
      </c>
      <c r="AA41" s="396">
        <f>SUM(AA2:AA40)</f>
        <v>64</v>
      </c>
      <c r="AB41" s="388">
        <f>SUM(AB2:AB40)</f>
        <v>50</v>
      </c>
      <c r="AC41" s="389" t="s">
        <v>160</v>
      </c>
      <c r="AD41" s="390">
        <f>SUM(AD2:AD40)</f>
        <v>10</v>
      </c>
      <c r="AE41" s="397">
        <f>SUM(AE2:AE40)</f>
        <v>60</v>
      </c>
      <c r="AF41" s="502">
        <f>SUM(AF2:AF40)</f>
        <v>103</v>
      </c>
      <c r="AG41" s="393" t="s">
        <v>160</v>
      </c>
      <c r="AH41" s="503">
        <f>SUM(AH2:AH40)</f>
        <v>21</v>
      </c>
      <c r="AI41" s="398">
        <f>SUM(AI2:AI40)</f>
        <v>124</v>
      </c>
      <c r="AJ41" s="214">
        <f>10+3+14+6+7+7+8+7+10+6+8+7+9</f>
        <v>102</v>
      </c>
    </row>
    <row r="42" spans="1:36" ht="120.75" thickBot="1" x14ac:dyDescent="0.3">
      <c r="E42" s="229" t="s">
        <v>62</v>
      </c>
      <c r="F42" s="230" t="s">
        <v>63</v>
      </c>
      <c r="G42" s="230" t="s">
        <v>64</v>
      </c>
      <c r="H42" s="231" t="s">
        <v>49</v>
      </c>
      <c r="I42" s="265" t="s">
        <v>65</v>
      </c>
      <c r="J42" s="232" t="s">
        <v>51</v>
      </c>
      <c r="K42" s="233" t="s">
        <v>52</v>
      </c>
      <c r="L42" s="234" t="s">
        <v>53</v>
      </c>
      <c r="M42" s="235" t="s">
        <v>54</v>
      </c>
      <c r="N42" s="236" t="s">
        <v>55</v>
      </c>
      <c r="O42" s="237" t="s">
        <v>12</v>
      </c>
      <c r="P42" s="238" t="s">
        <v>66</v>
      </c>
      <c r="Q42" s="235" t="s">
        <v>67</v>
      </c>
      <c r="R42" s="239" t="s">
        <v>68</v>
      </c>
      <c r="S42" s="491"/>
      <c r="T42" s="492"/>
      <c r="U42" s="492"/>
      <c r="V42" s="493"/>
    </row>
    <row r="43" spans="1:36" s="228" customFormat="1" x14ac:dyDescent="0.25">
      <c r="A43"/>
      <c r="B43" s="22"/>
      <c r="I43" s="240">
        <f>I41+G41</f>
        <v>229</v>
      </c>
      <c r="J43" s="214"/>
      <c r="K43" s="241"/>
      <c r="M43" s="228">
        <f>L41+M41</f>
        <v>35</v>
      </c>
      <c r="R43" s="242"/>
      <c r="S43" s="242"/>
      <c r="T43" s="242"/>
      <c r="U43" s="242"/>
      <c r="V43" s="242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</row>
    <row r="44" spans="1:36" s="228" customFormat="1" x14ac:dyDescent="0.25">
      <c r="A44"/>
      <c r="B44" s="22"/>
      <c r="E44" s="243"/>
      <c r="I44" s="240"/>
      <c r="J44" s="214"/>
      <c r="K44" s="241"/>
      <c r="R44" s="242"/>
      <c r="S44" s="242"/>
      <c r="T44" s="242"/>
      <c r="U44" s="242"/>
      <c r="V44" s="242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</row>
  </sheetData>
  <mergeCells count="42">
    <mergeCell ref="S42:V42"/>
    <mergeCell ref="R39:V39"/>
    <mergeCell ref="R40:V40"/>
    <mergeCell ref="S41:V41"/>
    <mergeCell ref="R38:V38"/>
    <mergeCell ref="R37:V37"/>
    <mergeCell ref="R31:V31"/>
    <mergeCell ref="R32:V32"/>
    <mergeCell ref="R33:V33"/>
    <mergeCell ref="R34:V34"/>
    <mergeCell ref="R35:V35"/>
    <mergeCell ref="R36:V36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5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03.16 (v2)</vt:lpstr>
      <vt:lpstr>03.16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2024-03-22T20:47:19Z</cp:lastPrinted>
  <dcterms:created xsi:type="dcterms:W3CDTF">2010-01-10T05:59:46Z</dcterms:created>
  <dcterms:modified xsi:type="dcterms:W3CDTF">2024-03-22T20:47:21Z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